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fileSharing readOnlyRecommended="1" userName="s273689" algorithmName="SHA-512" hashValue="GFHlkteR584EFbbPaHxhPonVzcTmd24Vee7GP/ZcjlYtToWL3NC8MAp5WeC6BJM0ABYCfNcHKaLPPPTvEbj3jw==" saltValue="BEmCTDgbgcWGAbFvQ8Lz/A==" spinCount="100000"/>
  <workbookPr filterPrivacy="1" showInkAnnotation="0" codeName="ThisWorkbook" defaultThemeVersion="124226"/>
  <xr:revisionPtr revIDLastSave="0" documentId="8_{F3FE4890-5D9A-4173-8A65-A9B9E74EBDCE}" xr6:coauthVersionLast="47" xr6:coauthVersionMax="47" xr10:uidLastSave="{00000000-0000-0000-0000-000000000000}"/>
  <bookViews>
    <workbookView xWindow="28680" yWindow="-120" windowWidth="29040" windowHeight="15840" tabRatio="1000" xr2:uid="{00000000-000D-0000-FFFF-FFFF00000000}"/>
  </bookViews>
  <sheets>
    <sheet name="TCOS" sheetId="2" r:id="rId1"/>
    <sheet name="WS A - RB Support" sheetId="35" r:id="rId2"/>
    <sheet name="WS B ADIT &amp; ITC" sheetId="5" r:id="rId3"/>
    <sheet name="WS B-1 - Actual Stmt. AF" sheetId="38" r:id="rId4"/>
    <sheet name="WS B-2 - Actual Stmt. AG" sheetId="39" r:id="rId5"/>
    <sheet name="WS B-3" sheetId="51" r:id="rId6"/>
    <sheet name="WS B-3-A" sheetId="53" r:id="rId7"/>
    <sheet name="WS B-3-B" sheetId="54" r:id="rId8"/>
    <sheet name="WS C  - Working Capital" sheetId="6" r:id="rId9"/>
    <sheet name="WS D IPP Credits" sheetId="7" r:id="rId10"/>
    <sheet name="WS E Rev Credits" sheetId="8" r:id="rId11"/>
    <sheet name="WS F Misc Exp" sheetId="9" r:id="rId12"/>
    <sheet name="WS G  State Tax Rate" sheetId="10" r:id="rId13"/>
    <sheet name="WS H Other Taxes" sheetId="11" r:id="rId14"/>
    <sheet name="WS H-1-Detail of Tax Amts" sheetId="30" r:id="rId15"/>
    <sheet name="WS I Reserved" sheetId="12" r:id="rId16"/>
    <sheet name="WS J PROJECTED RTEP RR" sheetId="20" state="hidden" r:id="rId17"/>
    <sheet name="WS K TRUE-UP RTEP RR" sheetId="13" r:id="rId18"/>
    <sheet name="WS L Reserved" sheetId="14" r:id="rId19"/>
    <sheet name="WS M - Cost of Capital" sheetId="41" r:id="rId20"/>
    <sheet name="WS N - Sale of Plant Held" sheetId="21" r:id="rId21"/>
    <sheet name="WS O - PBOP" sheetId="48" r:id="rId22"/>
    <sheet name="APCo - WS P Dep. Rates" sheetId="31" r:id="rId23"/>
    <sheet name="IMC - WS P Dep. Rates" sheetId="52" r:id="rId24"/>
    <sheet name="KGP - WS P Dep. Rates" sheetId="43" r:id="rId25"/>
    <sheet name="KPC - WS P Dep. Rates" sheetId="44" r:id="rId26"/>
    <sheet name="OPC - WS P Dep. Rates" sheetId="45" r:id="rId27"/>
    <sheet name="WPC-WS P Dep. Rates" sheetId="46" r:id="rId28"/>
    <sheet name="WSQ NSPR" sheetId="47" r:id="rId29"/>
    <sheet name="WSQ Schedule 12" sheetId="49" r:id="rId30"/>
    <sheet name="WSQ Schedule 1A" sheetId="50" r:id="rId31"/>
  </sheets>
  <externalReferences>
    <externalReference r:id="rId32"/>
    <externalReference r:id="rId33"/>
    <externalReference r:id="rId34"/>
  </externalReferences>
  <definedNames>
    <definedName name="_NPh1" localSheetId="23">#REF!</definedName>
    <definedName name="_NPh1" localSheetId="6">#REF!</definedName>
    <definedName name="_NPh1">#REF!</definedName>
    <definedName name="ActExcessAmt" localSheetId="23">#REF!</definedName>
    <definedName name="ActExcessAmt" localSheetId="6">#REF!</definedName>
    <definedName name="ActExcessAmt">#REF!</definedName>
    <definedName name="ActGrTaxAmt" localSheetId="6">#REF!</definedName>
    <definedName name="ActGrTaxAmt">#REF!</definedName>
    <definedName name="ActKWHExcess" localSheetId="6">#REF!</definedName>
    <definedName name="ActKWHExcess">#REF!</definedName>
    <definedName name="ActKWHNotUsed" localSheetId="6">#REF!</definedName>
    <definedName name="ActKWHNotUsed">#REF!</definedName>
    <definedName name="ActKWHRes" localSheetId="6">#REF!</definedName>
    <definedName name="ActKWHRes">#REF!</definedName>
    <definedName name="ActKWHSubTot" localSheetId="6">#REF!</definedName>
    <definedName name="ActKWHSubTot">#REF!</definedName>
    <definedName name="ActKWHTot" localSheetId="6">#REF!</definedName>
    <definedName name="ActKWHTot">#REF!</definedName>
    <definedName name="ActNotUsedAmt" localSheetId="6">#REF!</definedName>
    <definedName name="ActNotUsedAmt">#REF!</definedName>
    <definedName name="ActResAmt" localSheetId="6">#REF!</definedName>
    <definedName name="ActResAmt">#REF!</definedName>
    <definedName name="ActSubTotAmt" localSheetId="6">#REF!</definedName>
    <definedName name="ActSubTotAmt">#REF!</definedName>
    <definedName name="ActTotAmt" localSheetId="6">#REF!</definedName>
    <definedName name="ActTotAmt">#REF!</definedName>
    <definedName name="AdminChg" localSheetId="6">#REF!</definedName>
    <definedName name="AdminChg">#REF!</definedName>
    <definedName name="AEP" localSheetId="6">#REF!</definedName>
    <definedName name="AEP">#REF!</definedName>
    <definedName name="allocator" localSheetId="6">#REF!</definedName>
    <definedName name="allocator">#REF!</definedName>
    <definedName name="allocators" localSheetId="6">#REF!</definedName>
    <definedName name="allocators">#REF!</definedName>
    <definedName name="allocatorsSWP" localSheetId="6">#REF!</definedName>
    <definedName name="allocatorsSWP">#REF!</definedName>
    <definedName name="allocatorSWP1">'[1]SWP TCOS 2008 13 Month'!$I$317:$J$328</definedName>
    <definedName name="APCO" localSheetId="6">#REF!</definedName>
    <definedName name="APCO">#REF!</definedName>
    <definedName name="APCo_Proj_Allocators" localSheetId="6">#REF!</definedName>
    <definedName name="APCo_Proj_Allocators">#REF!</definedName>
    <definedName name="APCo_TU_Allocators" localSheetId="6">#REF!</definedName>
    <definedName name="APCo_TU_Allocators">#REF!</definedName>
    <definedName name="AVRGPWRFCTR" localSheetId="6">#REF!</definedName>
    <definedName name="AVRGPWRFCTR">#REF!</definedName>
    <definedName name="B1HRSCRMO" localSheetId="6">#REF!</definedName>
    <definedName name="B1HRSCRMO">#REF!</definedName>
    <definedName name="B2HRSCRMO" localSheetId="6">#REF!</definedName>
    <definedName name="B2HRSCRMO">#REF!</definedName>
    <definedName name="BASERATECHG" localSheetId="6">#REF!</definedName>
    <definedName name="BASERATECHG">#REF!</definedName>
    <definedName name="BILLKWH" localSheetId="6">#REF!</definedName>
    <definedName name="BILLKWH">#REF!</definedName>
    <definedName name="BIRPCCHG" localSheetId="6">#REF!</definedName>
    <definedName name="BIRPCCHG">#REF!</definedName>
    <definedName name="BIRPDCHG1" localSheetId="6">#REF!</definedName>
    <definedName name="BIRPDCHG1">#REF!</definedName>
    <definedName name="BIRPDCHG2" localSheetId="6">#REF!</definedName>
    <definedName name="BIRPDCHG2">#REF!</definedName>
    <definedName name="BIRPECHG1" localSheetId="6">#REF!</definedName>
    <definedName name="BIRPECHG1">#REF!</definedName>
    <definedName name="BIRPECHGB1" localSheetId="6">#REF!</definedName>
    <definedName name="BIRPECHGB1">#REF!</definedName>
    <definedName name="BIRPECHGB2" localSheetId="6">#REF!</definedName>
    <definedName name="BIRPECHGB2">#REF!</definedName>
    <definedName name="BIRPECHGB3" localSheetId="6">#REF!</definedName>
    <definedName name="BIRPECHGB3">#REF!</definedName>
    <definedName name="BIRPECHGW" localSheetId="6">#REF!</definedName>
    <definedName name="BIRPECHGW">#REF!</definedName>
    <definedName name="BIRPKWH1" localSheetId="6">#REF!</definedName>
    <definedName name="BIRPKWH1">#REF!</definedName>
    <definedName name="BIRPKWHB1" localSheetId="6">#REF!</definedName>
    <definedName name="BIRPKWHB1">#REF!</definedName>
    <definedName name="BIRPKWHB2" localSheetId="6">#REF!</definedName>
    <definedName name="BIRPKWHB2">#REF!</definedName>
    <definedName name="BIRPKWHB3" localSheetId="6">#REF!</definedName>
    <definedName name="BIRPKWHB3">#REF!</definedName>
    <definedName name="BIRPKWHWH" localSheetId="6">#REF!</definedName>
    <definedName name="BIRPKWHWH">#REF!</definedName>
    <definedName name="BIRPMECHG1" localSheetId="6">#REF!</definedName>
    <definedName name="BIRPMECHG1">#REF!</definedName>
    <definedName name="BIRPOFKWH" localSheetId="6">#REF!</definedName>
    <definedName name="BIRPOFKWH">#REF!</definedName>
    <definedName name="BIRPOPKWH" localSheetId="6">#REF!</definedName>
    <definedName name="BIRPOPKWH">#REF!</definedName>
    <definedName name="BIRPP1EC" localSheetId="6">#REF!</definedName>
    <definedName name="BIRPP1EC">#REF!</definedName>
    <definedName name="BIRPP2EC" localSheetId="6">#REF!</definedName>
    <definedName name="BIRPP2EC">#REF!</definedName>
    <definedName name="BIRPP3EC" localSheetId="6">#REF!</definedName>
    <definedName name="BIRPP3EC">#REF!</definedName>
    <definedName name="BIRPP4EC" localSheetId="6">#REF!</definedName>
    <definedName name="BIRPP4EC">#REF!</definedName>
    <definedName name="BIRPP5EC" localSheetId="6">#REF!</definedName>
    <definedName name="BIRPP5EC">#REF!</definedName>
    <definedName name="BIRPPDMDCHG" localSheetId="6">#REF!</definedName>
    <definedName name="BIRPPDMDCHG">#REF!</definedName>
    <definedName name="BIRPRCHG" localSheetId="6">#REF!</definedName>
    <definedName name="BIRPRCHG">#REF!</definedName>
    <definedName name="BIRPXKVA" localSheetId="6">#REF!</definedName>
    <definedName name="BIRPXKVA">#REF!</definedName>
    <definedName name="BIRPXKVAPCT" localSheetId="6">#REF!</definedName>
    <definedName name="BIRPXKVAPCT">#REF!</definedName>
    <definedName name="BIRPXOFKW" localSheetId="6">#REF!</definedName>
    <definedName name="BIRPXOFKW">#REF!</definedName>
    <definedName name="BKUPKWH" localSheetId="6">#REF!</definedName>
    <definedName name="BKUPKWH">#REF!</definedName>
    <definedName name="BLDAMNT" localSheetId="6">#REF!</definedName>
    <definedName name="BLDAMNT">#REF!</definedName>
    <definedName name="BLDDMND" localSheetId="6">#REF!</definedName>
    <definedName name="BLDDMND">#REF!</definedName>
    <definedName name="BLDKWH" localSheetId="6">#REF!</definedName>
    <definedName name="BLDKWH">#REF!</definedName>
    <definedName name="BLDOPDMND" localSheetId="6">#REF!</definedName>
    <definedName name="BLDOPDMND">#REF!</definedName>
    <definedName name="BLNGKWB4EDR" localSheetId="6">#REF!</definedName>
    <definedName name="BLNGKWB4EDR">#REF!</definedName>
    <definedName name="BLNGKWH" localSheetId="6">#REF!</definedName>
    <definedName name="BLNGKWH">#REF!</definedName>
    <definedName name="BLNGKWHTTL" localSheetId="6">#REF!</definedName>
    <definedName name="BLNGKWHTTL">#REF!</definedName>
    <definedName name="BndBlkKwh1" localSheetId="6">#REF!</definedName>
    <definedName name="BndBlkKwh1">#REF!</definedName>
    <definedName name="BndBlkKwh2" localSheetId="6">#REF!</definedName>
    <definedName name="BndBlkKwh2">#REF!</definedName>
    <definedName name="BndBlkKwh3" localSheetId="6">#REF!</definedName>
    <definedName name="BndBlkKwh3">#REF!</definedName>
    <definedName name="BndBlkKwhChg1" localSheetId="6">#REF!</definedName>
    <definedName name="BndBlkKwhChg1">#REF!</definedName>
    <definedName name="BndBlkKwhChg2" localSheetId="6">#REF!</definedName>
    <definedName name="BndBlkKwhChg2">#REF!</definedName>
    <definedName name="BndBlkKwhChg3" localSheetId="6">#REF!</definedName>
    <definedName name="BndBlkKwhChg3">#REF!</definedName>
    <definedName name="BndBlkKwhChgT" localSheetId="6">#REF!</definedName>
    <definedName name="BndBlkKwhChgT">#REF!</definedName>
    <definedName name="BndBlkKwhChgW" localSheetId="6">#REF!</definedName>
    <definedName name="BndBlkKwhChgW">#REF!</definedName>
    <definedName name="BndBlkKwhT" localSheetId="6">#REF!</definedName>
    <definedName name="BndBlkKwhT">#REF!</definedName>
    <definedName name="BndBlkKwhW" localSheetId="6">#REF!</definedName>
    <definedName name="BndBlkKwhW">#REF!</definedName>
    <definedName name="BndCustChg" localSheetId="6">#REF!</definedName>
    <definedName name="BndCustChg">#REF!</definedName>
    <definedName name="BndDmdChg1" localSheetId="6">#REF!</definedName>
    <definedName name="BndDmdChg1">#REF!</definedName>
    <definedName name="BndDmdChg2" localSheetId="6">#REF!</definedName>
    <definedName name="BndDmdChg2">#REF!</definedName>
    <definedName name="BndExcsKvaPct" localSheetId="6">#REF!</definedName>
    <definedName name="BndExcsKvaPct">#REF!</definedName>
    <definedName name="BndMEChg" localSheetId="6">#REF!</definedName>
    <definedName name="BndMEChg">#REF!</definedName>
    <definedName name="BndOffPkKwh" localSheetId="6">#REF!</definedName>
    <definedName name="BndOffPkKwh">#REF!</definedName>
    <definedName name="BndOnPkKwh" localSheetId="6">#REF!</definedName>
    <definedName name="BndOnPkKwh">#REF!</definedName>
    <definedName name="BndPL1Chg" localSheetId="6">#REF!</definedName>
    <definedName name="BndPL1Chg">#REF!</definedName>
    <definedName name="BndPL2Chg" localSheetId="6">#REF!</definedName>
    <definedName name="BndPL2Chg">#REF!</definedName>
    <definedName name="BndPL3Chg" localSheetId="6">#REF!</definedName>
    <definedName name="BndPL3Chg">#REF!</definedName>
    <definedName name="BndPL4Chg" localSheetId="6">#REF!</definedName>
    <definedName name="BndPL4Chg">#REF!</definedName>
    <definedName name="BndPL5Chg" localSheetId="6">#REF!</definedName>
    <definedName name="BndPL5Chg">#REF!</definedName>
    <definedName name="BndReactiveChg" localSheetId="6">#REF!</definedName>
    <definedName name="BndReactiveChg">#REF!</definedName>
    <definedName name="BndXOfpKvaChg" localSheetId="6">#REF!</definedName>
    <definedName name="BndXOfpKvaChg">#REF!</definedName>
    <definedName name="BndXOfpKwChg" localSheetId="6">#REF!</definedName>
    <definedName name="BndXOfpKwChg">#REF!</definedName>
    <definedName name="BTTrueUp" localSheetId="6">#REF!</definedName>
    <definedName name="BTTrueUp">#REF!</definedName>
    <definedName name="BUNCCHG" localSheetId="6">#REF!</definedName>
    <definedName name="BUNCCHG">#REF!</definedName>
    <definedName name="BUNDCHG1" localSheetId="6">#REF!</definedName>
    <definedName name="BUNDCHG1">#REF!</definedName>
    <definedName name="BUNDCHG2" localSheetId="6">#REF!</definedName>
    <definedName name="BUNDCHG2">#REF!</definedName>
    <definedName name="BUNECHG1" localSheetId="6">#REF!</definedName>
    <definedName name="BUNECHG1">#REF!</definedName>
    <definedName name="BUNECHGB1" localSheetId="6">#REF!</definedName>
    <definedName name="BUNECHGB1">#REF!</definedName>
    <definedName name="BUNECHGB2" localSheetId="6">#REF!</definedName>
    <definedName name="BUNECHGB2">#REF!</definedName>
    <definedName name="BUNECHGB3" localSheetId="6">#REF!</definedName>
    <definedName name="BUNECHGB3">#REF!</definedName>
    <definedName name="BUNECHGW" localSheetId="6">#REF!</definedName>
    <definedName name="BUNECHGW">#REF!</definedName>
    <definedName name="BUNKWH1" localSheetId="6">#REF!</definedName>
    <definedName name="BUNKWH1">#REF!</definedName>
    <definedName name="BUNKWHB1" localSheetId="6">#REF!</definedName>
    <definedName name="BUNKWHB1">#REF!</definedName>
    <definedName name="BUNKWHB2" localSheetId="6">#REF!</definedName>
    <definedName name="BUNKWHB2">#REF!</definedName>
    <definedName name="BUNKWHB3" localSheetId="6">#REF!</definedName>
    <definedName name="BUNKWHB3">#REF!</definedName>
    <definedName name="BUNKWHWH" localSheetId="6">#REF!</definedName>
    <definedName name="BUNKWHWH">#REF!</definedName>
    <definedName name="BUNMECHG1" localSheetId="6">#REF!</definedName>
    <definedName name="BUNMECHG1">#REF!</definedName>
    <definedName name="BUNOFKWH" localSheetId="6">#REF!</definedName>
    <definedName name="BUNOFKWH">#REF!</definedName>
    <definedName name="BUNOPKWH" localSheetId="6">#REF!</definedName>
    <definedName name="BUNOPKWH">#REF!</definedName>
    <definedName name="BUNP1EC" localSheetId="6">#REF!</definedName>
    <definedName name="BUNP1EC">#REF!</definedName>
    <definedName name="BUNP2EC" localSheetId="6">#REF!</definedName>
    <definedName name="BUNP2EC">#REF!</definedName>
    <definedName name="BUNP3EC" localSheetId="6">#REF!</definedName>
    <definedName name="BUNP3EC">#REF!</definedName>
    <definedName name="BUNP4EC" localSheetId="6">#REF!</definedName>
    <definedName name="BUNP4EC">#REF!</definedName>
    <definedName name="BUNP5EC" localSheetId="6">#REF!</definedName>
    <definedName name="BUNP5EC">#REF!</definedName>
    <definedName name="BUNPDMDCHG" localSheetId="6">#REF!</definedName>
    <definedName name="BUNPDMDCHG">#REF!</definedName>
    <definedName name="BUNRCHG" localSheetId="6">#REF!</definedName>
    <definedName name="BUNRCHG">#REF!</definedName>
    <definedName name="BUNXKVA" localSheetId="6">#REF!</definedName>
    <definedName name="BUNXKVA">#REF!</definedName>
    <definedName name="BUNXKVAPCT" localSheetId="6">#REF!</definedName>
    <definedName name="BUNXKVAPCT">#REF!</definedName>
    <definedName name="BUNXOFKW" localSheetId="6">#REF!</definedName>
    <definedName name="BUNXOFKW">#REF!</definedName>
    <definedName name="CALCPFCC" localSheetId="6">#REF!</definedName>
    <definedName name="CALCPFCC">#REF!</definedName>
    <definedName name="CAPDEFA" localSheetId="6">#REF!</definedName>
    <definedName name="CAPDEFA">#REF!</definedName>
    <definedName name="CBLKWH" localSheetId="6">#REF!</definedName>
    <definedName name="CBLKWH">#REF!</definedName>
    <definedName name="City" localSheetId="6">#REF!</definedName>
    <definedName name="City">#REF!</definedName>
    <definedName name="CNTRCTDMND" localSheetId="6">#REF!</definedName>
    <definedName name="CNTRCTDMND">#REF!</definedName>
    <definedName name="CoPhoneLine" localSheetId="6">#REF!</definedName>
    <definedName name="CoPhoneLine">#REF!</definedName>
    <definedName name="CRMOINTRPTHRS" localSheetId="6">#REF!</definedName>
    <definedName name="CRMOINTRPTHRS">#REF!</definedName>
    <definedName name="CRNTMOBTKWH" localSheetId="6">#REF!</definedName>
    <definedName name="CRNTMOBTKWH">#REF!</definedName>
    <definedName name="CRNTMOFPKHRS" localSheetId="6">#REF!</definedName>
    <definedName name="CRNTMOFPKHRS">#REF!</definedName>
    <definedName name="CRNTMONPKHRS" localSheetId="6">#REF!</definedName>
    <definedName name="CRNTMONPKHRS">#REF!</definedName>
    <definedName name="CRTLBLONPKHRS" localSheetId="6">#REF!</definedName>
    <definedName name="CRTLBLONPKHRS">#REF!</definedName>
    <definedName name="CRTLBLONPKKWH" localSheetId="6">#REF!</definedName>
    <definedName name="CRTLBLONPKKWH">#REF!</definedName>
    <definedName name="CSTMRCHG" localSheetId="6">#REF!</definedName>
    <definedName name="CSTMRCHG">#REF!</definedName>
    <definedName name="CurMoAddr1" localSheetId="6">#REF!</definedName>
    <definedName name="CurMoAddr1">#REF!</definedName>
    <definedName name="CurMoAddr2" localSheetId="6">#REF!</definedName>
    <definedName name="CurMoAddr2">#REF!</definedName>
    <definedName name="CurMoBTDetail" localSheetId="6">#REF!</definedName>
    <definedName name="CurMoBTDetail">#REF!</definedName>
    <definedName name="CurMoBuyThrgh_Sheet" localSheetId="6">#REF!</definedName>
    <definedName name="CurMoBuyThrgh_Sheet">#REF!</definedName>
    <definedName name="CurMoCityStZip" localSheetId="6">#REF!</definedName>
    <definedName name="CurMoCityStZip">#REF!</definedName>
    <definedName name="CurMoCustName" localSheetId="6">#REF!</definedName>
    <definedName name="CurMoCustName">#REF!</definedName>
    <definedName name="CurMoExcessAmt" localSheetId="6">#REF!</definedName>
    <definedName name="CurMoExcessAmt">#REF!</definedName>
    <definedName name="CurMoGrTaxAmt" localSheetId="6">#REF!</definedName>
    <definedName name="CurMoGrTaxAmt">#REF!</definedName>
    <definedName name="CurMoKWHExcess" localSheetId="6">#REF!</definedName>
    <definedName name="CurMoKWHExcess">#REF!</definedName>
    <definedName name="CurMoKWHNotUsed" localSheetId="6">#REF!</definedName>
    <definedName name="CurMoKWHNotUsed">#REF!</definedName>
    <definedName name="CurMoKWHRes" localSheetId="6">#REF!</definedName>
    <definedName name="CurMoKWHRes">#REF!</definedName>
    <definedName name="CurMoKWHSubTot" localSheetId="6">#REF!</definedName>
    <definedName name="CurMoKWHSubTot">#REF!</definedName>
    <definedName name="CurMoKWHTot" localSheetId="6">#REF!</definedName>
    <definedName name="CurMoKWHTot">#REF!</definedName>
    <definedName name="CurMoMtrMult" localSheetId="6">#REF!</definedName>
    <definedName name="CurMoMtrMult">#REF!</definedName>
    <definedName name="CurMoNotUsedAmt" localSheetId="6">#REF!</definedName>
    <definedName name="CurMoNotUsedAmt">#REF!</definedName>
    <definedName name="CurMoResAmt" localSheetId="6">#REF!</definedName>
    <definedName name="CurMoResAmt">#REF!</definedName>
    <definedName name="CurMoSubTotAmt" localSheetId="6">#REF!</definedName>
    <definedName name="CurMoSubTotAmt">#REF!</definedName>
    <definedName name="CurMoTotAmt" localSheetId="6">#REF!</definedName>
    <definedName name="CurMoTotAmt">#REF!</definedName>
    <definedName name="CurrYear" localSheetId="6">#REF!</definedName>
    <definedName name="CurrYear">#REF!</definedName>
    <definedName name="CustAddr1" localSheetId="6">#REF!</definedName>
    <definedName name="CustAddr1">#REF!</definedName>
    <definedName name="CustAddr2" localSheetId="6">#REF!</definedName>
    <definedName name="CustAddr2">#REF!</definedName>
    <definedName name="CustCityStZip" localSheetId="6">#REF!</definedName>
    <definedName name="CustCityStZip">#REF!</definedName>
    <definedName name="CustName2" localSheetId="6">#REF!</definedName>
    <definedName name="CustName2">#REF!</definedName>
    <definedName name="CustTable" localSheetId="6">#REF!</definedName>
    <definedName name="CustTable">#REF!</definedName>
    <definedName name="DetailTotCbl" localSheetId="6">#REF!</definedName>
    <definedName name="DetailTotCbl">#REF!</definedName>
    <definedName name="DetailTotChg" localSheetId="6">#REF!</definedName>
    <definedName name="DetailTotChg">#REF!</definedName>
    <definedName name="DetailTotKw" localSheetId="6">#REF!</definedName>
    <definedName name="DetailTotKw">#REF!</definedName>
    <definedName name="DetailTotMargin" localSheetId="6">#REF!</definedName>
    <definedName name="DetailTotMargin">#REF!</definedName>
    <definedName name="DIRPCCHG" localSheetId="6">#REF!</definedName>
    <definedName name="DIRPCCHG">#REF!</definedName>
    <definedName name="DIRPDCHG1" localSheetId="6">#REF!</definedName>
    <definedName name="DIRPDCHG1">#REF!</definedName>
    <definedName name="DIRPDCHG2" localSheetId="6">#REF!</definedName>
    <definedName name="DIRPDCHG2">#REF!</definedName>
    <definedName name="DIRPECHG1" localSheetId="6">#REF!</definedName>
    <definedName name="DIRPECHG1">#REF!</definedName>
    <definedName name="DIRPECHGB1" localSheetId="6">#REF!</definedName>
    <definedName name="DIRPECHGB1">#REF!</definedName>
    <definedName name="DIRPECHGB2" localSheetId="6">#REF!</definedName>
    <definedName name="DIRPECHGB2">#REF!</definedName>
    <definedName name="DIRPECHGB3" localSheetId="6">#REF!</definedName>
    <definedName name="DIRPECHGB3">#REF!</definedName>
    <definedName name="DIRPMECHG1" localSheetId="6">#REF!</definedName>
    <definedName name="DIRPMECHG1">#REF!</definedName>
    <definedName name="DIRPMINDC" localSheetId="6">#REF!</definedName>
    <definedName name="DIRPMINDC">#REF!</definedName>
    <definedName name="DIRPMINEC" localSheetId="6">#REF!</definedName>
    <definedName name="DIRPMINEC">#REF!</definedName>
    <definedName name="DIRPOFKVA" localSheetId="6">#REF!</definedName>
    <definedName name="DIRPOFKVA">#REF!</definedName>
    <definedName name="DIRPOFKW" localSheetId="6">#REF!</definedName>
    <definedName name="DIRPOFKW">#REF!</definedName>
    <definedName name="DIRPOFKWH" localSheetId="6">#REF!</definedName>
    <definedName name="DIRPOFKWH">#REF!</definedName>
    <definedName name="DIRPOPKWH" localSheetId="6">#REF!</definedName>
    <definedName name="DIRPOPKWH">#REF!</definedName>
    <definedName name="DIRPP1EC" localSheetId="6">#REF!</definedName>
    <definedName name="DIRPP1EC">#REF!</definedName>
    <definedName name="DIRPP2EC" localSheetId="6">#REF!</definedName>
    <definedName name="DIRPP2EC">#REF!</definedName>
    <definedName name="DIRPP3EC" localSheetId="6">#REF!</definedName>
    <definedName name="DIRPP3EC">#REF!</definedName>
    <definedName name="DIRPP4EC" localSheetId="6">#REF!</definedName>
    <definedName name="DIRPP4EC">#REF!</definedName>
    <definedName name="DIRPP5EC" localSheetId="6">#REF!</definedName>
    <definedName name="DIRPP5EC">#REF!</definedName>
    <definedName name="DIRPRCHG" localSheetId="6">#REF!</definedName>
    <definedName name="DIRPRCHG">#REF!</definedName>
    <definedName name="DisBlkKwhChg1" localSheetId="6">#REF!</definedName>
    <definedName name="DisBlkKwhChg1">#REF!</definedName>
    <definedName name="DisBlkKwhChg2" localSheetId="6">#REF!</definedName>
    <definedName name="DisBlkKwhChg2">#REF!</definedName>
    <definedName name="DisBlkKwhChg3" localSheetId="6">#REF!</definedName>
    <definedName name="DisBlkKwhChg3">#REF!</definedName>
    <definedName name="DisBlkKwhChgT" localSheetId="6">#REF!</definedName>
    <definedName name="DisBlkKwhChgT">#REF!</definedName>
    <definedName name="DisCustChg" localSheetId="6">#REF!</definedName>
    <definedName name="DisCustChg">#REF!</definedName>
    <definedName name="DisDmdChg1" localSheetId="6">#REF!</definedName>
    <definedName name="DisDmdChg1">#REF!</definedName>
    <definedName name="DisDmdChg2" localSheetId="6">#REF!</definedName>
    <definedName name="DisDmdChg2">#REF!</definedName>
    <definedName name="DisMEChg" localSheetId="6">#REF!</definedName>
    <definedName name="DisMEChg">#REF!</definedName>
    <definedName name="DisMinDChg" localSheetId="6">#REF!</definedName>
    <definedName name="DisMinDChg">#REF!</definedName>
    <definedName name="DisMinEChg" localSheetId="6">#REF!</definedName>
    <definedName name="DisMinEChg">#REF!</definedName>
    <definedName name="DisOffPkKwh" localSheetId="6">#REF!</definedName>
    <definedName name="DisOffPkKwh">#REF!</definedName>
    <definedName name="DisOnPkKwh" localSheetId="6">#REF!</definedName>
    <definedName name="DisOnPkKwh">#REF!</definedName>
    <definedName name="DisPL1Chg" localSheetId="6">#REF!</definedName>
    <definedName name="DisPL1Chg">#REF!</definedName>
    <definedName name="DisPL2Chg" localSheetId="6">#REF!</definedName>
    <definedName name="DisPL2Chg">#REF!</definedName>
    <definedName name="DisPL3Chg" localSheetId="6">#REF!</definedName>
    <definedName name="DisPL3Chg">#REF!</definedName>
    <definedName name="DisPL4Chg" localSheetId="6">#REF!</definedName>
    <definedName name="DisPL4Chg">#REF!</definedName>
    <definedName name="DisPL5Chg" localSheetId="6">#REF!</definedName>
    <definedName name="DisPL5Chg">#REF!</definedName>
    <definedName name="DisReactiveChg" localSheetId="6">#REF!</definedName>
    <definedName name="DisReactiveChg">#REF!</definedName>
    <definedName name="DisXOfpKvaChg" localSheetId="6">#REF!</definedName>
    <definedName name="DisXOfpKvaChg">#REF!</definedName>
    <definedName name="DisXOfpKwChg" localSheetId="6">#REF!</definedName>
    <definedName name="DisXOfpKwChg">#REF!</definedName>
    <definedName name="DSTCCHG" localSheetId="6">#REF!</definedName>
    <definedName name="DSTCCHG">#REF!</definedName>
    <definedName name="DSTDCHG1" localSheetId="6">#REF!</definedName>
    <definedName name="DSTDCHG1">#REF!</definedName>
    <definedName name="DSTDCHG2" localSheetId="6">#REF!</definedName>
    <definedName name="DSTDCHG2">#REF!</definedName>
    <definedName name="DSTECHG1" localSheetId="6">#REF!</definedName>
    <definedName name="DSTECHG1">#REF!</definedName>
    <definedName name="DSTECHGB1" localSheetId="6">#REF!</definedName>
    <definedName name="DSTECHGB1">#REF!</definedName>
    <definedName name="DSTECHGB2" localSheetId="6">#REF!</definedName>
    <definedName name="DSTECHGB2">#REF!</definedName>
    <definedName name="DSTECHGB3" localSheetId="6">#REF!</definedName>
    <definedName name="DSTECHGB3">#REF!</definedName>
    <definedName name="DSTMECHG1" localSheetId="6">#REF!</definedName>
    <definedName name="DSTMECHG1">#REF!</definedName>
    <definedName name="DSTMINDC" localSheetId="6">#REF!</definedName>
    <definedName name="DSTMINDC">#REF!</definedName>
    <definedName name="DSTMINEC" localSheetId="6">#REF!</definedName>
    <definedName name="DSTMINEC">#REF!</definedName>
    <definedName name="DSTOFKWH" localSheetId="6">#REF!</definedName>
    <definedName name="DSTOFKWH">#REF!</definedName>
    <definedName name="DSTOPKWH" localSheetId="6">#REF!</definedName>
    <definedName name="DSTOPKWH">#REF!</definedName>
    <definedName name="DSTP1EC" localSheetId="6">#REF!</definedName>
    <definedName name="DSTP1EC">#REF!</definedName>
    <definedName name="DSTP2EC" localSheetId="6">#REF!</definedName>
    <definedName name="DSTP2EC">#REF!</definedName>
    <definedName name="DSTP3EC" localSheetId="6">#REF!</definedName>
    <definedName name="DSTP3EC">#REF!</definedName>
    <definedName name="DSTP4EC" localSheetId="6">#REF!</definedName>
    <definedName name="DSTP4EC">#REF!</definedName>
    <definedName name="DSTP5EC" localSheetId="6">#REF!</definedName>
    <definedName name="DSTP5EC">#REF!</definedName>
    <definedName name="DSTRCHG" localSheetId="6">#REF!</definedName>
    <definedName name="DSTRCHG">#REF!</definedName>
    <definedName name="DSTXOFKVA" localSheetId="6">#REF!</definedName>
    <definedName name="DSTXOFKVA">#REF!</definedName>
    <definedName name="DSTXOFKW" localSheetId="6">#REF!</definedName>
    <definedName name="DSTXOFKW">#REF!</definedName>
    <definedName name="EDRBASE" localSheetId="6">#REF!</definedName>
    <definedName name="EDRBASE">#REF!</definedName>
    <definedName name="EDRDATE" localSheetId="6">#REF!</definedName>
    <definedName name="EDRDATE">#REF!</definedName>
    <definedName name="EDRDSCNT" localSheetId="6">#REF!</definedName>
    <definedName name="EDRDSCNT">#REF!</definedName>
    <definedName name="EDRLVLPCT" localSheetId="6">#REF!</definedName>
    <definedName name="EDRLVLPCT">#REF!</definedName>
    <definedName name="EDRTYPE" localSheetId="6">#REF!</definedName>
    <definedName name="EDRTYPE">#REF!</definedName>
    <definedName name="EffDate" localSheetId="6">#REF!</definedName>
    <definedName name="EffDate">#REF!</definedName>
    <definedName name="ELKMCGN1" localSheetId="6">#REF!</definedName>
    <definedName name="ELKMCGN1">#REF!</definedName>
    <definedName name="ELKMCGN2" localSheetId="6">#REF!</definedName>
    <definedName name="ELKMCGN2">#REF!</definedName>
    <definedName name="ENDDTM" localSheetId="6">#REF!</definedName>
    <definedName name="ENDDTM">#REF!</definedName>
    <definedName name="ENDTIME" localSheetId="6">#REF!</definedName>
    <definedName name="ENDTIME">#REF!</definedName>
    <definedName name="EstExcessAmt" localSheetId="6">#REF!</definedName>
    <definedName name="EstExcessAmt">#REF!</definedName>
    <definedName name="EstGrTaxAmt" localSheetId="6">#REF!</definedName>
    <definedName name="EstGrTaxAmt">#REF!</definedName>
    <definedName name="EstKWHExcess" localSheetId="6">#REF!</definedName>
    <definedName name="EstKWHExcess">#REF!</definedName>
    <definedName name="EstKWHNotUsed" localSheetId="6">#REF!</definedName>
    <definedName name="EstKWHNotUsed">#REF!</definedName>
    <definedName name="EstKWHRes" localSheetId="6">#REF!</definedName>
    <definedName name="EstKWHRes">#REF!</definedName>
    <definedName name="EstKWHSubTot" localSheetId="6">#REF!</definedName>
    <definedName name="EstKWHSubTot">#REF!</definedName>
    <definedName name="EstKWHTot" localSheetId="6">#REF!</definedName>
    <definedName name="EstKWHTot">#REF!</definedName>
    <definedName name="EstNotUsedAmt" localSheetId="6">#REF!</definedName>
    <definedName name="EstNotUsedAmt">#REF!</definedName>
    <definedName name="EstResAmt" localSheetId="6">#REF!</definedName>
    <definedName name="EstResAmt">#REF!</definedName>
    <definedName name="EstSubTotAmt" localSheetId="6">#REF!</definedName>
    <definedName name="EstSubTotAmt">#REF!</definedName>
    <definedName name="EstTotAmt" localSheetId="6">#REF!</definedName>
    <definedName name="EstTotAmt">#REF!</definedName>
    <definedName name="EXCSKVACHG" localSheetId="6">#REF!</definedName>
    <definedName name="EXCSKVACHG">#REF!</definedName>
    <definedName name="EXCSKVADMND" localSheetId="6">#REF!</definedName>
    <definedName name="EXCSKVADMND">#REF!</definedName>
    <definedName name="EXCSKVAR" localSheetId="6">#REF!</definedName>
    <definedName name="EXCSKVAR">#REF!</definedName>
    <definedName name="FIRMKWH" localSheetId="6">#REF!</definedName>
    <definedName name="FIRMKWH">#REF!</definedName>
    <definedName name="FIRSTDAY" localSheetId="6">#REF!</definedName>
    <definedName name="FIRSTDAY">#REF!</definedName>
    <definedName name="FRMCPCT" localSheetId="6">#REF!</definedName>
    <definedName name="FRMCPCT">#REF!</definedName>
    <definedName name="FUELCHG" localSheetId="6">#REF!</definedName>
    <definedName name="FUELCHG">#REF!</definedName>
    <definedName name="FUELRATE" localSheetId="6">#REF!</definedName>
    <definedName name="FUELRATE">#REF!</definedName>
    <definedName name="GenBlkKwhChg1" localSheetId="6">#REF!</definedName>
    <definedName name="GenBlkKwhChg1">#REF!</definedName>
    <definedName name="GenBlkKwhChg2" localSheetId="6">#REF!</definedName>
    <definedName name="GenBlkKwhChg2">#REF!</definedName>
    <definedName name="GenBlkKwhChg3" localSheetId="6">#REF!</definedName>
    <definedName name="GenBlkKwhChg3">#REF!</definedName>
    <definedName name="GenBlkKwhChgT" localSheetId="6">#REF!</definedName>
    <definedName name="GenBlkKwhChgT">#REF!</definedName>
    <definedName name="GENCCHG" localSheetId="6">#REF!</definedName>
    <definedName name="GENCCHG">#REF!</definedName>
    <definedName name="GenCustChg" localSheetId="6">#REF!</definedName>
    <definedName name="GenCustChg">#REF!</definedName>
    <definedName name="GENDCHG1" localSheetId="6">#REF!</definedName>
    <definedName name="GENDCHG1">#REF!</definedName>
    <definedName name="GENDCHG2" localSheetId="6">#REF!</definedName>
    <definedName name="GENDCHG2">#REF!</definedName>
    <definedName name="GenDmdChg1" localSheetId="6">#REF!</definedName>
    <definedName name="GenDmdChg1">#REF!</definedName>
    <definedName name="GenDmdChg2" localSheetId="6">#REF!</definedName>
    <definedName name="GenDmdChg2">#REF!</definedName>
    <definedName name="GENECHG1" localSheetId="6">#REF!</definedName>
    <definedName name="GENECHG1">#REF!</definedName>
    <definedName name="GENECHGB1" localSheetId="6">#REF!</definedName>
    <definedName name="GENECHGB1">#REF!</definedName>
    <definedName name="GENECHGB2" localSheetId="6">#REF!</definedName>
    <definedName name="GENECHGB2">#REF!</definedName>
    <definedName name="GENECHGB3" localSheetId="6">#REF!</definedName>
    <definedName name="GENECHGB3">#REF!</definedName>
    <definedName name="GenMEChg" localSheetId="6">#REF!</definedName>
    <definedName name="GenMEChg">#REF!</definedName>
    <definedName name="GENMECHG1" localSheetId="6">#REF!</definedName>
    <definedName name="GENMECHG1">#REF!</definedName>
    <definedName name="GENMINDC" localSheetId="6">#REF!</definedName>
    <definedName name="GENMINDC">#REF!</definedName>
    <definedName name="GenMinDChg" localSheetId="6">#REF!</definedName>
    <definedName name="GenMinDChg">#REF!</definedName>
    <definedName name="GENMINEC" localSheetId="6">#REF!</definedName>
    <definedName name="GENMINEC">#REF!</definedName>
    <definedName name="GenMinEChg" localSheetId="6">#REF!</definedName>
    <definedName name="GenMinEChg">#REF!</definedName>
    <definedName name="GenOffPkKwh" localSheetId="6">#REF!</definedName>
    <definedName name="GenOffPkKwh">#REF!</definedName>
    <definedName name="GENOFKWH" localSheetId="6">#REF!</definedName>
    <definedName name="GENOFKWH">#REF!</definedName>
    <definedName name="GenOnPkKwh" localSheetId="6">#REF!</definedName>
    <definedName name="GenOnPkKwh">#REF!</definedName>
    <definedName name="GENOPKWH" localSheetId="6">#REF!</definedName>
    <definedName name="GENOPKWH">#REF!</definedName>
    <definedName name="GENP1EC" localSheetId="6">#REF!</definedName>
    <definedName name="GENP1EC">#REF!</definedName>
    <definedName name="GENP2EC" localSheetId="6">#REF!</definedName>
    <definedName name="GENP2EC">#REF!</definedName>
    <definedName name="GENP3EC" localSheetId="6">#REF!</definedName>
    <definedName name="GENP3EC">#REF!</definedName>
    <definedName name="GENP4EC" localSheetId="6">#REF!</definedName>
    <definedName name="GENP4EC">#REF!</definedName>
    <definedName name="GENP5EC" localSheetId="6">#REF!</definedName>
    <definedName name="GENP5EC">#REF!</definedName>
    <definedName name="GenPL1Chg" localSheetId="6">#REF!</definedName>
    <definedName name="GenPL1Chg">#REF!</definedName>
    <definedName name="GenPL2Chg" localSheetId="6">#REF!</definedName>
    <definedName name="GenPL2Chg">#REF!</definedName>
    <definedName name="GenPL3Chg" localSheetId="6">#REF!</definedName>
    <definedName name="GenPL3Chg">#REF!</definedName>
    <definedName name="GenPL4Chg" localSheetId="6">#REF!</definedName>
    <definedName name="GenPL4Chg">#REF!</definedName>
    <definedName name="GenPL5Chg" localSheetId="6">#REF!</definedName>
    <definedName name="GenPL5Chg">#REF!</definedName>
    <definedName name="GENRCHG" localSheetId="6">#REF!</definedName>
    <definedName name="GENRCHG">#REF!</definedName>
    <definedName name="GenReactiveChg" localSheetId="6">#REF!</definedName>
    <definedName name="GenReactiveChg">#REF!</definedName>
    <definedName name="GENXOFKVA" localSheetId="6">#REF!</definedName>
    <definedName name="GENXOFKVA">#REF!</definedName>
    <definedName name="GENXOFKW" localSheetId="6">#REF!</definedName>
    <definedName name="GENXOFKW">#REF!</definedName>
    <definedName name="GenXOfpKvaChg" localSheetId="6">#REF!</definedName>
    <definedName name="GenXOfpKvaChg">#REF!</definedName>
    <definedName name="GenXOfpKwChg" localSheetId="6">#REF!</definedName>
    <definedName name="GenXOfpKwChg">#REF!</definedName>
    <definedName name="GIRPCCHG" localSheetId="6">#REF!</definedName>
    <definedName name="GIRPCCHG">#REF!</definedName>
    <definedName name="GIRPDCHG1" localSheetId="6">#REF!</definedName>
    <definedName name="GIRPDCHG1">#REF!</definedName>
    <definedName name="GIRPDCHG2" localSheetId="6">#REF!</definedName>
    <definedName name="GIRPDCHG2">#REF!</definedName>
    <definedName name="GIRPECHG1" localSheetId="6">#REF!</definedName>
    <definedName name="GIRPECHG1">#REF!</definedName>
    <definedName name="GIRPECHGB1" localSheetId="6">#REF!</definedName>
    <definedName name="GIRPECHGB1">#REF!</definedName>
    <definedName name="GIRPECHGB2" localSheetId="6">#REF!</definedName>
    <definedName name="GIRPECHGB2">#REF!</definedName>
    <definedName name="GIRPECHGB3" localSheetId="6">#REF!</definedName>
    <definedName name="GIRPECHGB3">#REF!</definedName>
    <definedName name="GIRPMECHG1" localSheetId="6">#REF!</definedName>
    <definedName name="GIRPMECHG1">#REF!</definedName>
    <definedName name="GIRPMINDC" localSheetId="6">#REF!</definedName>
    <definedName name="GIRPMINDC">#REF!</definedName>
    <definedName name="GIRPMINEC" localSheetId="6">#REF!</definedName>
    <definedName name="GIRPMINEC">#REF!</definedName>
    <definedName name="GIRPOFKVA" localSheetId="6">#REF!</definedName>
    <definedName name="GIRPOFKVA">#REF!</definedName>
    <definedName name="GIRPOFKW" localSheetId="6">#REF!</definedName>
    <definedName name="GIRPOFKW">#REF!</definedName>
    <definedName name="GIRPOFKWH" localSheetId="6">#REF!</definedName>
    <definedName name="GIRPOFKWH">#REF!</definedName>
    <definedName name="GIRPOPKWH" localSheetId="6">#REF!</definedName>
    <definedName name="GIRPOPKWH">#REF!</definedName>
    <definedName name="GIRPP1EC" localSheetId="6">#REF!</definedName>
    <definedName name="GIRPP1EC">#REF!</definedName>
    <definedName name="GIRPP2EC" localSheetId="6">#REF!</definedName>
    <definedName name="GIRPP2EC">#REF!</definedName>
    <definedName name="GIRPP3EC" localSheetId="6">#REF!</definedName>
    <definedName name="GIRPP3EC">#REF!</definedName>
    <definedName name="GIRPP4EC" localSheetId="6">#REF!</definedName>
    <definedName name="GIRPP4EC">#REF!</definedName>
    <definedName name="GIRPP5EC" localSheetId="6">#REF!</definedName>
    <definedName name="GIRPP5EC">#REF!</definedName>
    <definedName name="GIRPRCHG" localSheetId="6">#REF!</definedName>
    <definedName name="GIRPRCHG">#REF!</definedName>
    <definedName name="HEADA" localSheetId="6">#REF!</definedName>
    <definedName name="HEADA">#REF!</definedName>
    <definedName name="HEADB" localSheetId="6">#REF!</definedName>
    <definedName name="HEADB">#REF!</definedName>
    <definedName name="HEADC" localSheetId="6">#REF!</definedName>
    <definedName name="HEADC">#REF!</definedName>
    <definedName name="HEADD" localSheetId="6">#REF!</definedName>
    <definedName name="HEADD">#REF!</definedName>
    <definedName name="HIPREKW" localSheetId="6">#REF!</definedName>
    <definedName name="HIPREKW">#REF!</definedName>
    <definedName name="HRCRDKW" localSheetId="6">#REF!</definedName>
    <definedName name="HRCRDKW">#REF!</definedName>
    <definedName name="HRCRDKWDT" localSheetId="6">#REF!</definedName>
    <definedName name="HRCRDKWDT">#REF!</definedName>
    <definedName name="HRCRDKWTM" localSheetId="6">#REF!</definedName>
    <definedName name="HRCRDKWTM">#REF!</definedName>
    <definedName name="HROFPKDT" localSheetId="6">#REF!</definedName>
    <definedName name="HROFPKDT">#REF!</definedName>
    <definedName name="HROFPKKW" localSheetId="6">#REF!</definedName>
    <definedName name="HROFPKKW">#REF!</definedName>
    <definedName name="HROFPKTM" localSheetId="6">#REF!</definedName>
    <definedName name="HROFPKTM">#REF!</definedName>
    <definedName name="HRONPKDT" localSheetId="6">#REF!</definedName>
    <definedName name="HRONPKDT">#REF!</definedName>
    <definedName name="HRONPKKW" localSheetId="6">#REF!</definedName>
    <definedName name="HRONPKKW">#REF!</definedName>
    <definedName name="HRONPKTM" localSheetId="6">#REF!</definedName>
    <definedName name="HRONPKTM">#REF!</definedName>
    <definedName name="IMCO" localSheetId="6">#REF!</definedName>
    <definedName name="IMCO">#REF!</definedName>
    <definedName name="InterruptCapacity" localSheetId="6">#REF!</definedName>
    <definedName name="InterruptCapacity">#REF!</definedName>
    <definedName name="InterruptOfpCapacity" localSheetId="6">#REF!</definedName>
    <definedName name="InterruptOfpCapacity">#REF!</definedName>
    <definedName name="InterruptType" localSheetId="6">#REF!</definedName>
    <definedName name="InterruptType">#REF!</definedName>
    <definedName name="INTRPBLCAP" localSheetId="6">#REF!</definedName>
    <definedName name="INTRPBLCAP">#REF!</definedName>
    <definedName name="Invdetails" localSheetId="6">#REF!</definedName>
    <definedName name="Invdetails">#REF!</definedName>
    <definedName name="KWCHG" localSheetId="6">#REF!</definedName>
    <definedName name="KWCHG">#REF!</definedName>
    <definedName name="KWH1NOCMM" localSheetId="6">#REF!</definedName>
    <definedName name="KWH1NOCMM">#REF!</definedName>
    <definedName name="KWH3NOCMM" localSheetId="6">#REF!</definedName>
    <definedName name="KWH3NOCMM">#REF!</definedName>
    <definedName name="KWHCHG" localSheetId="6">#REF!</definedName>
    <definedName name="KWHCHG">#REF!</definedName>
    <definedName name="LASTDAY" localSheetId="6">#REF!</definedName>
    <definedName name="LASTDAY">#REF!</definedName>
    <definedName name="LASTFUEL" localSheetId="6">#REF!</definedName>
    <definedName name="LASTFUEL">#REF!</definedName>
    <definedName name="LASTMSRR" localSheetId="6">#REF!</definedName>
    <definedName name="LASTMSRR">#REF!</definedName>
    <definedName name="LASTPFCC" localSheetId="6">#REF!</definedName>
    <definedName name="LASTPFCC">#REF!</definedName>
    <definedName name="LDFCTR" localSheetId="6">#REF!</definedName>
    <definedName name="LDFCTR">#REF!</definedName>
    <definedName name="LRCREDIT" localSheetId="6">#REF!</definedName>
    <definedName name="LRCREDIT">#REF!</definedName>
    <definedName name="MACC1" localSheetId="6">#REF!</definedName>
    <definedName name="MACC1">#REF!</definedName>
    <definedName name="MACC2" localSheetId="6">#REF!</definedName>
    <definedName name="MACC2">#REF!</definedName>
    <definedName name="MAINTHRSCRMO" localSheetId="6">#REF!</definedName>
    <definedName name="MAINTHRSCRMO">#REF!</definedName>
    <definedName name="MAINTKWH" localSheetId="6">#REF!</definedName>
    <definedName name="MAINTKWH">#REF!</definedName>
    <definedName name="MinBillDem" localSheetId="6">#REF!</definedName>
    <definedName name="MinBillDem">#REF!</definedName>
    <definedName name="MinBillDem2" localSheetId="6">#REF!</definedName>
    <definedName name="MinBillDem2">#REF!</definedName>
    <definedName name="MinBillDmd" localSheetId="6">#REF!</definedName>
    <definedName name="MinBillDmd">#REF!</definedName>
    <definedName name="MSRRBLD" localSheetId="6">#REF!</definedName>
    <definedName name="MSRRBLD">#REF!</definedName>
    <definedName name="MSRRCHG" localSheetId="6">#REF!</definedName>
    <definedName name="MSRRCHG">#REF!</definedName>
    <definedName name="MTRMLTPLR1" localSheetId="6">#REF!</definedName>
    <definedName name="MTRMLTPLR1">#REF!</definedName>
    <definedName name="MTRMLTPLR2" localSheetId="6">#REF!</definedName>
    <definedName name="MTRMLTPLR2">#REF!</definedName>
    <definedName name="NETMRGCHG" localSheetId="6">#REF!</definedName>
    <definedName name="NETMRGCHG">#REF!</definedName>
    <definedName name="NODAYSINPRD" localSheetId="6">#REF!</definedName>
    <definedName name="NODAYSINPRD">#REF!</definedName>
    <definedName name="NODELPOINTS" localSheetId="6">#REF!</definedName>
    <definedName name="NODELPOINTS">#REF!</definedName>
    <definedName name="np">[2]TCOS!$J$105</definedName>
    <definedName name="NP_h">[3]TCOS!$J$105</definedName>
    <definedName name="NP_h1" localSheetId="23">#REF!</definedName>
    <definedName name="NP_h1" localSheetId="6">#REF!</definedName>
    <definedName name="NP_h1">#REF!</definedName>
    <definedName name="NvsASD">"V2006-12-31"</definedName>
    <definedName name="NvsAutoDrillOk">"VN"</definedName>
    <definedName name="NvsElapsedTime">0.000231481484661344</definedName>
    <definedName name="NvsEndTime">39091.5909490741</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"%,X,RZF..,CNF.."</definedName>
    <definedName name="NvsPanelBusUnit">"V100"</definedName>
    <definedName name="NvsPanelEffdt">"V2004-06-30"</definedName>
    <definedName name="NvsPanelSetid">"VAEP"</definedName>
    <definedName name="NvsReqBU">"VX999"</definedName>
    <definedName name="NvsReqBUOnly">"VN"</definedName>
    <definedName name="NvsTransLed">"VN"</definedName>
    <definedName name="NvsTreeASD">"V2099-01-01"</definedName>
    <definedName name="NvsValTbl.ACCOUNT">"GL_ACCOUNT_TBL"</definedName>
    <definedName name="NvsValTbl.AEP_STATE_JURIS">"AEP_ST_JD_TBL"</definedName>
    <definedName name="NvsValTbl.CURRENCY_CD">"CURRENCY_CD_TBL"</definedName>
    <definedName name="OFPCBLKW" localSheetId="6">#REF!</definedName>
    <definedName name="OFPCBLKW">#REF!</definedName>
    <definedName name="OFPKBILLKWH" localSheetId="6">#REF!</definedName>
    <definedName name="OFPKBILLKWH">#REF!</definedName>
    <definedName name="OFPKCGNKWH" localSheetId="6">#REF!</definedName>
    <definedName name="OFPKCGNKWH">#REF!</definedName>
    <definedName name="OFPKCNTRCTCPCT" localSheetId="6">#REF!</definedName>
    <definedName name="OFPKCNTRCTCPCT">#REF!</definedName>
    <definedName name="OFPKDMPKWH" localSheetId="6">#REF!</definedName>
    <definedName name="OFPKDMPKWH">#REF!</definedName>
    <definedName name="OFPKDSCRKWH" localSheetId="6">#REF!</definedName>
    <definedName name="OFPKDSCRKWH">#REF!</definedName>
    <definedName name="OFPKDT" localSheetId="6">#REF!</definedName>
    <definedName name="OFPKDT">#REF!</definedName>
    <definedName name="OFPKEXCSKW" localSheetId="6">#REF!</definedName>
    <definedName name="OFPKEXCSKW">#REF!</definedName>
    <definedName name="OFPKINCRKWH" localSheetId="6">#REF!</definedName>
    <definedName name="OFPKINCRKWH">#REF!</definedName>
    <definedName name="OFPKKVADT" localSheetId="6">#REF!</definedName>
    <definedName name="OFPKKVADT">#REF!</definedName>
    <definedName name="OFPKKVATM" localSheetId="6">#REF!</definedName>
    <definedName name="OFPKKVATM">#REF!</definedName>
    <definedName name="OFPKKVW" localSheetId="6">#REF!</definedName>
    <definedName name="OFPKKVW">#REF!</definedName>
    <definedName name="OFPKKW" localSheetId="6">#REF!</definedName>
    <definedName name="OFPKKW">#REF!</definedName>
    <definedName name="OFPKKWH1NOCMM" localSheetId="6">#REF!</definedName>
    <definedName name="OFPKKWH1NOCMM">#REF!</definedName>
    <definedName name="OFPKKWH3NOCMM" localSheetId="6">#REF!</definedName>
    <definedName name="OFPKKWH3NOCMM">#REF!</definedName>
    <definedName name="OFPKRCRDKWH" localSheetId="6">#REF!</definedName>
    <definedName name="OFPKRCRDKWH">#REF!</definedName>
    <definedName name="OFPKTM" localSheetId="6">#REF!</definedName>
    <definedName name="OFPKTM">#REF!</definedName>
    <definedName name="OFPXCSKW" localSheetId="6">#REF!</definedName>
    <definedName name="OFPXCSKW">#REF!</definedName>
    <definedName name="OFPXCSKWDT" localSheetId="6">#REF!</definedName>
    <definedName name="OFPXCSKWDT">#REF!</definedName>
    <definedName name="OFPXCSKWH" localSheetId="6">#REF!</definedName>
    <definedName name="OFPXCSKWH">#REF!</definedName>
    <definedName name="OFPXCSKWTM" localSheetId="6">#REF!</definedName>
    <definedName name="OFPXCSKWTM">#REF!</definedName>
    <definedName name="ONPKBILLKWH" localSheetId="6">#REF!</definedName>
    <definedName name="ONPKBILLKWH">#REF!</definedName>
    <definedName name="ONPKCAPB" localSheetId="6">#REF!</definedName>
    <definedName name="ONPKCAPB">#REF!</definedName>
    <definedName name="ONPKCGNKWH" localSheetId="6">#REF!</definedName>
    <definedName name="ONPKCGNKWH">#REF!</definedName>
    <definedName name="ONPKCNTRCTCPCT" localSheetId="6">#REF!</definedName>
    <definedName name="ONPKCNTRCTCPCT">#REF!</definedName>
    <definedName name="ONPKDMPKWH" localSheetId="6">#REF!</definedName>
    <definedName name="ONPKDMPKWH">#REF!</definedName>
    <definedName name="ONPKDSCRKWH" localSheetId="6">#REF!</definedName>
    <definedName name="ONPKDSCRKWH">#REF!</definedName>
    <definedName name="ONPKDT" localSheetId="6">#REF!</definedName>
    <definedName name="ONPKDT">#REF!</definedName>
    <definedName name="ONPKINCRKWH" localSheetId="6">#REF!</definedName>
    <definedName name="ONPKINCRKWH">#REF!</definedName>
    <definedName name="ONPKKVA" localSheetId="6">#REF!</definedName>
    <definedName name="ONPKKVA">#REF!</definedName>
    <definedName name="ONPKKVADT" localSheetId="6">#REF!</definedName>
    <definedName name="ONPKKVADT">#REF!</definedName>
    <definedName name="ONPKKVATM" localSheetId="6">#REF!</definedName>
    <definedName name="ONPKKVATM">#REF!</definedName>
    <definedName name="ONPKKW" localSheetId="6">#REF!</definedName>
    <definedName name="ONPKKW">#REF!</definedName>
    <definedName name="ONPKKWH1NOCMM" localSheetId="6">#REF!</definedName>
    <definedName name="ONPKKWH1NOCMM">#REF!</definedName>
    <definedName name="ONPKKWH3NOCMM" localSheetId="6">#REF!</definedName>
    <definedName name="ONPKKWH3NOCMM">#REF!</definedName>
    <definedName name="ONPKRCRDKWH" localSheetId="6">#REF!</definedName>
    <definedName name="ONPKRCRDKWH">#REF!</definedName>
    <definedName name="ONPKTM" localSheetId="6">#REF!</definedName>
    <definedName name="ONPKTM">#REF!</definedName>
    <definedName name="OPCBLKW" localSheetId="6">#REF!</definedName>
    <definedName name="OPCBLKW">#REF!</definedName>
    <definedName name="OPCO" localSheetId="6">#REF!</definedName>
    <definedName name="OPCO">#REF!</definedName>
    <definedName name="OPXCSKW" localSheetId="6">#REF!</definedName>
    <definedName name="OPXCSKW">#REF!</definedName>
    <definedName name="OPXCSKWDT" localSheetId="6">#REF!</definedName>
    <definedName name="OPXCSKWDT">#REF!</definedName>
    <definedName name="OPXCSKWH" localSheetId="6">#REF!</definedName>
    <definedName name="OPXCSKWH">#REF!</definedName>
    <definedName name="OPXCSKWTM" localSheetId="6">#REF!</definedName>
    <definedName name="OPXCSKWTM">#REF!</definedName>
    <definedName name="OTHRTRNSKWH" localSheetId="6">#REF!</definedName>
    <definedName name="OTHRTRNSKWH">#REF!</definedName>
    <definedName name="P1PENPERC" localSheetId="6">#REF!</definedName>
    <definedName name="P1PENPERC">#REF!</definedName>
    <definedName name="P2PENPERC" localSheetId="6">#REF!</definedName>
    <definedName name="P2PENPERC">#REF!</definedName>
    <definedName name="PAGEA" localSheetId="6">#REF!</definedName>
    <definedName name="PAGEA">#REF!</definedName>
    <definedName name="PAGEB" localSheetId="6">#REF!</definedName>
    <definedName name="PAGEB">#REF!</definedName>
    <definedName name="PAGEC" localSheetId="6">#REF!</definedName>
    <definedName name="PAGEC">#REF!</definedName>
    <definedName name="PAGED" localSheetId="6">#REF!</definedName>
    <definedName name="PAGED">#REF!</definedName>
    <definedName name="PeakDemandChg" localSheetId="6">#REF!</definedName>
    <definedName name="PeakDemandChg">#REF!</definedName>
    <definedName name="PenaltyDays" localSheetId="6">#REF!</definedName>
    <definedName name="PenaltyDays">#REF!</definedName>
    <definedName name="PenaltyPct" localSheetId="6">#REF!</definedName>
    <definedName name="PenaltyPct">#REF!</definedName>
    <definedName name="PENDAYS" localSheetId="6">#REF!</definedName>
    <definedName name="PENDAYS">#REF!</definedName>
    <definedName name="PENDAYS2" localSheetId="6">#REF!</definedName>
    <definedName name="PENDAYS2">#REF!</definedName>
    <definedName name="PFCC" localSheetId="6">#REF!</definedName>
    <definedName name="PFCC">#REF!</definedName>
    <definedName name="PKKVAR" localSheetId="6">#REF!</definedName>
    <definedName name="PKKVAR">#REF!</definedName>
    <definedName name="PKKVARDATE" localSheetId="6">#REF!</definedName>
    <definedName name="PKKVARDATE">#REF!</definedName>
    <definedName name="PKKVARTIME" localSheetId="6">#REF!</definedName>
    <definedName name="PKKVARTIME">#REF!</definedName>
    <definedName name="PLVLKWH1" localSheetId="6">#REF!</definedName>
    <definedName name="PLVLKWH1">#REF!</definedName>
    <definedName name="PLVLKWH1A" localSheetId="6">#REF!</definedName>
    <definedName name="PLVLKWH1A">#REF!</definedName>
    <definedName name="PLVLKWH2" localSheetId="6">#REF!</definedName>
    <definedName name="PLVLKWH2">#REF!</definedName>
    <definedName name="PLVLKWH23A" localSheetId="6">#REF!</definedName>
    <definedName name="PLVLKWH23A">#REF!</definedName>
    <definedName name="PLVLKWH25" localSheetId="6">#REF!</definedName>
    <definedName name="PLVLKWH25">#REF!</definedName>
    <definedName name="PLVLKWH2A" localSheetId="6">#REF!</definedName>
    <definedName name="PLVLKWH2A">#REF!</definedName>
    <definedName name="PLVLKWH3" localSheetId="6">#REF!</definedName>
    <definedName name="PLVLKWH3">#REF!</definedName>
    <definedName name="PLVLKWH3A" localSheetId="6">#REF!</definedName>
    <definedName name="PLVLKWH3A">#REF!</definedName>
    <definedName name="PLVLKWH4" localSheetId="6">#REF!</definedName>
    <definedName name="PLVLKWH4">#REF!</definedName>
    <definedName name="PLVLKWH4A" localSheetId="6">#REF!</definedName>
    <definedName name="PLVLKWH4A">#REF!</definedName>
    <definedName name="PRICEDESIG" localSheetId="6">#REF!</definedName>
    <definedName name="PRICEDESIG">#REF!</definedName>
    <definedName name="PriMoAddr1" localSheetId="6">#REF!</definedName>
    <definedName name="PriMoAddr1">#REF!</definedName>
    <definedName name="PriMoAddr2" localSheetId="6">#REF!</definedName>
    <definedName name="PriMoAddr2">#REF!</definedName>
    <definedName name="PriMoBTDetail" localSheetId="6">#REF!</definedName>
    <definedName name="PriMoBTDetail">#REF!</definedName>
    <definedName name="PriMoBuyThrgh_Sheet" localSheetId="6">#REF!</definedName>
    <definedName name="PriMoBuyThrgh_Sheet">#REF!</definedName>
    <definedName name="PriMoCityStZip" localSheetId="6">#REF!</definedName>
    <definedName name="PriMoCityStZip">#REF!</definedName>
    <definedName name="PriMoCustName" localSheetId="6">#REF!</definedName>
    <definedName name="PriMoCustName">#REF!</definedName>
    <definedName name="PriMoMtrMult" localSheetId="6">#REF!</definedName>
    <definedName name="PriMoMtrMult">#REF!</definedName>
    <definedName name="_xlnm.Print_Area" localSheetId="23">#REF!</definedName>
    <definedName name="_xlnm.Print_Area" localSheetId="0">TCOS!$A$1:$L$374</definedName>
    <definedName name="_xlnm.Print_Area" localSheetId="27">'WPC-WS P Dep. Rates'!#REF!</definedName>
    <definedName name="_xlnm.Print_Area" localSheetId="4">'WS B-2 - Actual Stmt. AG'!$A$1:$S$79</definedName>
    <definedName name="_xlnm.Print_Area" localSheetId="5">'WS B-3'!$A$1:$R$64</definedName>
    <definedName name="_xlnm.Print_Area" localSheetId="6">'WS B-3-A'!$A$1:$N$59</definedName>
    <definedName name="_xlnm.Print_Area" localSheetId="16">'WS J PROJECTED RTEP RR'!$A$1:$O$170</definedName>
    <definedName name="_xlnm.Print_Area" localSheetId="18">'WS L Reserved'!$A$1:$F$42</definedName>
    <definedName name="_xlnm.Print_Area" localSheetId="19">'WS M - Cost of Capital'!$A$1:$L$106</definedName>
    <definedName name="_xlnm.Print_Area" localSheetId="21">'WS O - PBOP'!$A$1:$K$59</definedName>
    <definedName name="_xlnm.Print_Area" localSheetId="28">'WSQ NSPR'!$A$1:$K$57</definedName>
    <definedName name="_xlnm.Print_Area">#REF!</definedName>
    <definedName name="_xlnm.Print_Titles" localSheetId="27">'WPC-WS P Dep. Rates'!#REF!</definedName>
    <definedName name="PRVCNT" localSheetId="23">#REF!</definedName>
    <definedName name="PRVCNT" localSheetId="6">#REF!</definedName>
    <definedName name="PRVCNT">#REF!</definedName>
    <definedName name="PRVDATE" localSheetId="23">#REF!</definedName>
    <definedName name="PRVDATE" localSheetId="6">#REF!</definedName>
    <definedName name="PRVDATE">#REF!</definedName>
    <definedName name="PRVFUEL" localSheetId="23">#REF!</definedName>
    <definedName name="PRVFUEL" localSheetId="6">#REF!</definedName>
    <definedName name="PRVFUEL">#REF!</definedName>
    <definedName name="PRVKW" localSheetId="6">#REF!</definedName>
    <definedName name="PRVKW">#REF!</definedName>
    <definedName name="PRVKWH" localSheetId="6">#REF!</definedName>
    <definedName name="PRVKWH">#REF!</definedName>
    <definedName name="PRVMSRR" localSheetId="6">#REF!</definedName>
    <definedName name="PRVMSRR">#REF!</definedName>
    <definedName name="PRVPFCC" localSheetId="6">#REF!</definedName>
    <definedName name="PRVPFCC">#REF!</definedName>
    <definedName name="PSO_Proj_Allocators" localSheetId="6">#REF!</definedName>
    <definedName name="PSO_Proj_Allocators">#REF!</definedName>
    <definedName name="PSOallocatorsP" localSheetId="6">#REF!</definedName>
    <definedName name="PSOallocatorsP">#REF!</definedName>
    <definedName name="PVHIOFPCBL" localSheetId="6">#REF!</definedName>
    <definedName name="PVHIOFPCBL">#REF!</definedName>
    <definedName name="PVHIOPCBL" localSheetId="6">#REF!</definedName>
    <definedName name="PVHIOPCBL">#REF!</definedName>
    <definedName name="RatchetFactor" localSheetId="6">#REF!</definedName>
    <definedName name="RatchetFactor">#REF!</definedName>
    <definedName name="RCRDRID" localSheetId="6">#REF!</definedName>
    <definedName name="RCRDRID">#REF!</definedName>
    <definedName name="RCTVHRS" localSheetId="6">#REF!</definedName>
    <definedName name="RCTVHRS">#REF!</definedName>
    <definedName name="RDRBLK1C" localSheetId="6">#REF!</definedName>
    <definedName name="RDRBLK1C">#REF!</definedName>
    <definedName name="RDRBLK1Q" localSheetId="6">#REF!</definedName>
    <definedName name="RDRBLK1Q">#REF!</definedName>
    <definedName name="RDRBLK2C" localSheetId="6">#REF!</definedName>
    <definedName name="RDRBLK2C">#REF!</definedName>
    <definedName name="RDRBLK2Q" localSheetId="6">#REF!</definedName>
    <definedName name="RDRBLK2Q">#REF!</definedName>
    <definedName name="RDRBLK3C" localSheetId="6">#REF!</definedName>
    <definedName name="RDRBLK3C">#REF!</definedName>
    <definedName name="RDRBLK3Q" localSheetId="6">#REF!</definedName>
    <definedName name="RDRBLK3Q">#REF!</definedName>
    <definedName name="RDRBLKTC" localSheetId="6">#REF!</definedName>
    <definedName name="RDRBLKTC">#REF!</definedName>
    <definedName name="RDRBLKTC1" localSheetId="6">#REF!</definedName>
    <definedName name="RDRBLKTC1">#REF!</definedName>
    <definedName name="RDRBLKTC10" localSheetId="6">#REF!</definedName>
    <definedName name="RDRBLKTC10">#REF!</definedName>
    <definedName name="RDRBLKTC11" localSheetId="6">#REF!</definedName>
    <definedName name="RDRBLKTC11">#REF!</definedName>
    <definedName name="RDRBLKTC12" localSheetId="6">#REF!</definedName>
    <definedName name="RDRBLKTC12">#REF!</definedName>
    <definedName name="RDRBLKTC13" localSheetId="6">#REF!</definedName>
    <definedName name="RDRBLKTC13">#REF!</definedName>
    <definedName name="RDRBLKTC14" localSheetId="6">#REF!</definedName>
    <definedName name="RDRBLKTC14">#REF!</definedName>
    <definedName name="RDRBLKTC15" localSheetId="6">#REF!</definedName>
    <definedName name="RDRBLKTC15">#REF!</definedName>
    <definedName name="RDRBLKTC16" localSheetId="6">#REF!</definedName>
    <definedName name="RDRBLKTC16">#REF!</definedName>
    <definedName name="RDRBLKTC17" localSheetId="6">#REF!</definedName>
    <definedName name="RDRBLKTC17">#REF!</definedName>
    <definedName name="RDRBLKTC18" localSheetId="6">#REF!</definedName>
    <definedName name="RDRBLKTC18">#REF!</definedName>
    <definedName name="RDRBLKTC19" localSheetId="6">#REF!</definedName>
    <definedName name="RDRBLKTC19">#REF!</definedName>
    <definedName name="RDRBLKTC2" localSheetId="6">#REF!</definedName>
    <definedName name="RDRBLKTC2">#REF!</definedName>
    <definedName name="RDRBLKTC20" localSheetId="6">#REF!</definedName>
    <definedName name="RDRBLKTC20">#REF!</definedName>
    <definedName name="RDRBLKTC3" localSheetId="6">#REF!</definedName>
    <definedName name="RDRBLKTC3">#REF!</definedName>
    <definedName name="RDRBLKTC4" localSheetId="6">#REF!</definedName>
    <definedName name="RDRBLKTC4">#REF!</definedName>
    <definedName name="RDRBLKTC5" localSheetId="6">#REF!</definedName>
    <definedName name="RDRBLKTC5">#REF!</definedName>
    <definedName name="RDRBLKTC6" localSheetId="6">#REF!</definedName>
    <definedName name="RDRBLKTC6">#REF!</definedName>
    <definedName name="RDRBLKTC7" localSheetId="6">#REF!</definedName>
    <definedName name="RDRBLKTC7">#REF!</definedName>
    <definedName name="RDRBLKTC8" localSheetId="6">#REF!</definedName>
    <definedName name="RDRBLKTC8">#REF!</definedName>
    <definedName name="RDRBLKTC9" localSheetId="6">#REF!</definedName>
    <definedName name="RDRBLKTC9">#REF!</definedName>
    <definedName name="RDRBLKTQ" localSheetId="6">#REF!</definedName>
    <definedName name="RDRBLKTQ">#REF!</definedName>
    <definedName name="RDRCODE" localSheetId="6">#REF!</definedName>
    <definedName name="RDRCODE">#REF!</definedName>
    <definedName name="RDRCYCLE" localSheetId="6">#REF!</definedName>
    <definedName name="RDRCYCLE">#REF!</definedName>
    <definedName name="RDRDATE" localSheetId="6">#REF!</definedName>
    <definedName name="RDRDATE">#REF!</definedName>
    <definedName name="RDRNAME" localSheetId="6">#REF!</definedName>
    <definedName name="RDRNAME">#REF!</definedName>
    <definedName name="RDRRATEB" localSheetId="6">#REF!</definedName>
    <definedName name="RDRRATEB">#REF!</definedName>
    <definedName name="RDRRATEB1" localSheetId="6">#REF!</definedName>
    <definedName name="RDRRATEB1">#REF!</definedName>
    <definedName name="RDRRATEB10" localSheetId="6">#REF!</definedName>
    <definedName name="RDRRATEB10">#REF!</definedName>
    <definedName name="RDRRATEB11" localSheetId="6">#REF!</definedName>
    <definedName name="RDRRATEB11">#REF!</definedName>
    <definedName name="RDRRATEB12" localSheetId="6">#REF!</definedName>
    <definedName name="RDRRATEB12">#REF!</definedName>
    <definedName name="RDRRATEB13" localSheetId="6">#REF!</definedName>
    <definedName name="RDRRATEB13">#REF!</definedName>
    <definedName name="RDRRATEB14" localSheetId="6">#REF!</definedName>
    <definedName name="RDRRATEB14">#REF!</definedName>
    <definedName name="RDRRATEB15" localSheetId="6">#REF!</definedName>
    <definedName name="RDRRATEB15">#REF!</definedName>
    <definedName name="RDRRATEB16" localSheetId="6">#REF!</definedName>
    <definedName name="RDRRATEB16">#REF!</definedName>
    <definedName name="RDRRATEB17" localSheetId="6">#REF!</definedName>
    <definedName name="RDRRATEB17">#REF!</definedName>
    <definedName name="RDRRATEB18" localSheetId="6">#REF!</definedName>
    <definedName name="RDRRATEB18">#REF!</definedName>
    <definedName name="RDRRATEB19" localSheetId="6">#REF!</definedName>
    <definedName name="RDRRATEB19">#REF!</definedName>
    <definedName name="RDRRATEB2" localSheetId="6">#REF!</definedName>
    <definedName name="RDRRATEB2">#REF!</definedName>
    <definedName name="RDRRATEB20" localSheetId="6">#REF!</definedName>
    <definedName name="RDRRATEB20">#REF!</definedName>
    <definedName name="RDRRATEB3" localSheetId="6">#REF!</definedName>
    <definedName name="RDRRATEB3">#REF!</definedName>
    <definedName name="RDRRATEB4" localSheetId="6">#REF!</definedName>
    <definedName name="RDRRATEB4">#REF!</definedName>
    <definedName name="RDRRATEB5" localSheetId="6">#REF!</definedName>
    <definedName name="RDRRATEB5">#REF!</definedName>
    <definedName name="RDRRATEB6" localSheetId="6">#REF!</definedName>
    <definedName name="RDRRATEB6">#REF!</definedName>
    <definedName name="RDRRATEB7" localSheetId="6">#REF!</definedName>
    <definedName name="RDRRATEB7">#REF!</definedName>
    <definedName name="RDRRATEB8" localSheetId="6">#REF!</definedName>
    <definedName name="RDRRATEB8">#REF!</definedName>
    <definedName name="RDRRATEB9" localSheetId="6">#REF!</definedName>
    <definedName name="RDRRATEB9">#REF!</definedName>
    <definedName name="RDRRATED" localSheetId="6">#REF!</definedName>
    <definedName name="RDRRATED">#REF!</definedName>
    <definedName name="RDRRATED1" localSheetId="6">#REF!</definedName>
    <definedName name="RDRRATED1">#REF!</definedName>
    <definedName name="RDRRATED10" localSheetId="6">#REF!</definedName>
    <definedName name="RDRRATED10">#REF!</definedName>
    <definedName name="RDRRATED11" localSheetId="6">#REF!</definedName>
    <definedName name="RDRRATED11">#REF!</definedName>
    <definedName name="RDRRATED12" localSheetId="6">#REF!</definedName>
    <definedName name="RDRRATED12">#REF!</definedName>
    <definedName name="RDRRATED13" localSheetId="6">#REF!</definedName>
    <definedName name="RDRRATED13">#REF!</definedName>
    <definedName name="RDRRATED14" localSheetId="6">#REF!</definedName>
    <definedName name="RDRRATED14">#REF!</definedName>
    <definedName name="RDRRATED15" localSheetId="6">#REF!</definedName>
    <definedName name="RDRRATED15">#REF!</definedName>
    <definedName name="RDRRATED16" localSheetId="6">#REF!</definedName>
    <definedName name="RDRRATED16">#REF!</definedName>
    <definedName name="RDRRATED17" localSheetId="6">#REF!</definedName>
    <definedName name="RDRRATED17">#REF!</definedName>
    <definedName name="RDRRATED18" localSheetId="6">#REF!</definedName>
    <definedName name="RDRRATED18">#REF!</definedName>
    <definedName name="RDRRATED19" localSheetId="6">#REF!</definedName>
    <definedName name="RDRRATED19">#REF!</definedName>
    <definedName name="RDRRATED2" localSheetId="6">#REF!</definedName>
    <definedName name="RDRRATED2">#REF!</definedName>
    <definedName name="RDRRATED20" localSheetId="6">#REF!</definedName>
    <definedName name="RDRRATED20">#REF!</definedName>
    <definedName name="RDRRATED3" localSheetId="6">#REF!</definedName>
    <definedName name="RDRRATED3">#REF!</definedName>
    <definedName name="RDRRATED4" localSheetId="6">#REF!</definedName>
    <definedName name="RDRRATED4">#REF!</definedName>
    <definedName name="RDRRATED5" localSheetId="6">#REF!</definedName>
    <definedName name="RDRRATED5">#REF!</definedName>
    <definedName name="RDRRATED6" localSheetId="6">#REF!</definedName>
    <definedName name="RDRRATED6">#REF!</definedName>
    <definedName name="RDRRATED7" localSheetId="6">#REF!</definedName>
    <definedName name="RDRRATED7">#REF!</definedName>
    <definedName name="RDRRATED8" localSheetId="6">#REF!</definedName>
    <definedName name="RDRRATED8">#REF!</definedName>
    <definedName name="RDRRATED9" localSheetId="6">#REF!</definedName>
    <definedName name="RDRRATED9">#REF!</definedName>
    <definedName name="RDRRATEG" localSheetId="6">#REF!</definedName>
    <definedName name="RDRRATEG">#REF!</definedName>
    <definedName name="RDRRATEG1" localSheetId="6">#REF!</definedName>
    <definedName name="RDRRATEG1">#REF!</definedName>
    <definedName name="RDRRATEG10" localSheetId="6">#REF!</definedName>
    <definedName name="RDRRATEG10">#REF!</definedName>
    <definedName name="RDRRATEG11" localSheetId="6">#REF!</definedName>
    <definedName name="RDRRATEG11">#REF!</definedName>
    <definedName name="RDRRATEG12" localSheetId="6">#REF!</definedName>
    <definedName name="RDRRATEG12">#REF!</definedName>
    <definedName name="RDRRATEG13" localSheetId="6">#REF!</definedName>
    <definedName name="RDRRATEG13">#REF!</definedName>
    <definedName name="RDRRATEG14" localSheetId="6">#REF!</definedName>
    <definedName name="RDRRATEG14">#REF!</definedName>
    <definedName name="RDRRATEG15" localSheetId="6">#REF!</definedName>
    <definedName name="RDRRATEG15">#REF!</definedName>
    <definedName name="RDRRATEG16" localSheetId="6">#REF!</definedName>
    <definedName name="RDRRATEG16">#REF!</definedName>
    <definedName name="RDRRATEG17" localSheetId="6">#REF!</definedName>
    <definedName name="RDRRATEG17">#REF!</definedName>
    <definedName name="RDRRATEG18" localSheetId="6">#REF!</definedName>
    <definedName name="RDRRATEG18">#REF!</definedName>
    <definedName name="RDRRATEG19" localSheetId="6">#REF!</definedName>
    <definedName name="RDRRATEG19">#REF!</definedName>
    <definedName name="RDRRATEG2" localSheetId="6">#REF!</definedName>
    <definedName name="RDRRATEG2">#REF!</definedName>
    <definedName name="RDRRATEG20" localSheetId="6">#REF!</definedName>
    <definedName name="RDRRATEG20">#REF!</definedName>
    <definedName name="RDRRATEG3" localSheetId="6">#REF!</definedName>
    <definedName name="RDRRATEG3">#REF!</definedName>
    <definedName name="RDRRATEG4" localSheetId="6">#REF!</definedName>
    <definedName name="RDRRATEG4">#REF!</definedName>
    <definedName name="RDRRATEG5" localSheetId="6">#REF!</definedName>
    <definedName name="RDRRATEG5">#REF!</definedName>
    <definedName name="RDRRATEG6" localSheetId="6">#REF!</definedName>
    <definedName name="RDRRATEG6">#REF!</definedName>
    <definedName name="RDRRATEG7" localSheetId="6">#REF!</definedName>
    <definedName name="RDRRATEG7">#REF!</definedName>
    <definedName name="RDRRATEG8" localSheetId="6">#REF!</definedName>
    <definedName name="RDRRATEG8">#REF!</definedName>
    <definedName name="RDRRATEG9" localSheetId="6">#REF!</definedName>
    <definedName name="RDRRATEG9">#REF!</definedName>
    <definedName name="RDRRATET" localSheetId="6">#REF!</definedName>
    <definedName name="RDRRATET">#REF!</definedName>
    <definedName name="RDRRATET1" localSheetId="6">#REF!</definedName>
    <definedName name="RDRRATET1">#REF!</definedName>
    <definedName name="RDRRATET10" localSheetId="6">#REF!</definedName>
    <definedName name="RDRRATET10">#REF!</definedName>
    <definedName name="RDRRATET11" localSheetId="6">#REF!</definedName>
    <definedName name="RDRRATET11">#REF!</definedName>
    <definedName name="RDRRATET12" localSheetId="6">#REF!</definedName>
    <definedName name="RDRRATET12">#REF!</definedName>
    <definedName name="RDRRATET13" localSheetId="6">#REF!</definedName>
    <definedName name="RDRRATET13">#REF!</definedName>
    <definedName name="RDRRATET14" localSheetId="6">#REF!</definedName>
    <definedName name="RDRRATET14">#REF!</definedName>
    <definedName name="RDRRATET15" localSheetId="6">#REF!</definedName>
    <definedName name="RDRRATET15">#REF!</definedName>
    <definedName name="RDRRATET16" localSheetId="6">#REF!</definedName>
    <definedName name="RDRRATET16">#REF!</definedName>
    <definedName name="RDRRATET17" localSheetId="6">#REF!</definedName>
    <definedName name="RDRRATET17">#REF!</definedName>
    <definedName name="RDRRATET18" localSheetId="6">#REF!</definedName>
    <definedName name="RDRRATET18">#REF!</definedName>
    <definedName name="RDRRATET19" localSheetId="6">#REF!</definedName>
    <definedName name="RDRRATET19">#REF!</definedName>
    <definedName name="RDRRATET2" localSheetId="6">#REF!</definedName>
    <definedName name="RDRRATET2">#REF!</definedName>
    <definedName name="RDRRATET20" localSheetId="6">#REF!</definedName>
    <definedName name="RDRRATET20">#REF!</definedName>
    <definedName name="RDRRATET3" localSheetId="6">#REF!</definedName>
    <definedName name="RDRRATET3">#REF!</definedName>
    <definedName name="RDRRATET4" localSheetId="6">#REF!</definedName>
    <definedName name="RDRRATET4">#REF!</definedName>
    <definedName name="RDRRATET5" localSheetId="6">#REF!</definedName>
    <definedName name="RDRRATET5">#REF!</definedName>
    <definedName name="RDRRATET6" localSheetId="6">#REF!</definedName>
    <definedName name="RDRRATET6">#REF!</definedName>
    <definedName name="RDRRATET7" localSheetId="6">#REF!</definedName>
    <definedName name="RDRRATET7">#REF!</definedName>
    <definedName name="RDRRATET8" localSheetId="6">#REF!</definedName>
    <definedName name="RDRRATET8">#REF!</definedName>
    <definedName name="RDRRATET9" localSheetId="6">#REF!</definedName>
    <definedName name="RDRRATET9">#REF!</definedName>
    <definedName name="RDRTYPE" localSheetId="6">#REF!</definedName>
    <definedName name="RDRTYPE">#REF!</definedName>
    <definedName name="RDRUNITS" localSheetId="6">#REF!</definedName>
    <definedName name="RDRUNITS">#REF!</definedName>
    <definedName name="_xlnm.Recorder" localSheetId="6">#REF!</definedName>
    <definedName name="_xlnm.Recorder">#REF!</definedName>
    <definedName name="Reserved_Section" localSheetId="6">#REF!</definedName>
    <definedName name="Reserved_Section">#REF!</definedName>
    <definedName name="RIDERS" localSheetId="6">#REF!</definedName>
    <definedName name="RIDERS">#REF!</definedName>
    <definedName name="RKVAHRDNG" localSheetId="6">#REF!</definedName>
    <definedName name="RKVAHRDNG">#REF!</definedName>
    <definedName name="RTCHTCNTRCTCPCT" localSheetId="6">#REF!</definedName>
    <definedName name="RTCHTCNTRCTCPCT">#REF!</definedName>
    <definedName name="RTCHTFCTR" localSheetId="6">#REF!</definedName>
    <definedName name="RTCHTFCTR">#REF!</definedName>
    <definedName name="RTCHTFCTR2" localSheetId="6">#REF!</definedName>
    <definedName name="RTCHTFCTR2">#REF!</definedName>
    <definedName name="RTCHTHIPREVKW" localSheetId="6">#REF!</definedName>
    <definedName name="RTCHTHIPREVKW">#REF!</definedName>
    <definedName name="RTP_Detail" localSheetId="6">#REF!</definedName>
    <definedName name="RTP_Detail">#REF!</definedName>
    <definedName name="RTPLRKW" localSheetId="6">#REF!</definedName>
    <definedName name="RTPLRKW">#REF!</definedName>
    <definedName name="SDI" localSheetId="6">#REF!</definedName>
    <definedName name="SDI">#REF!</definedName>
    <definedName name="SHLDRPKKW" localSheetId="6">#REF!</definedName>
    <definedName name="SHLDRPKKW">#REF!</definedName>
    <definedName name="SHLDRPKKWDT" localSheetId="6">#REF!</definedName>
    <definedName name="SHLDRPKKWDT">#REF!</definedName>
    <definedName name="SHLDRPKKWTM" localSheetId="6">#REF!</definedName>
    <definedName name="SHLDRPKKWTM">#REF!</definedName>
    <definedName name="SHRDTRNSKWH" localSheetId="6">#REF!</definedName>
    <definedName name="SHRDTRNSKWH">#REF!</definedName>
    <definedName name="SRPLSKWH" localSheetId="6">#REF!</definedName>
    <definedName name="SRPLSKWH">#REF!</definedName>
    <definedName name="STARTDTM" localSheetId="6">#REF!</definedName>
    <definedName name="STARTDTM">#REF!</definedName>
    <definedName name="State" localSheetId="6">#REF!</definedName>
    <definedName name="State">#REF!</definedName>
    <definedName name="STDKW" localSheetId="6">#REF!</definedName>
    <definedName name="STDKW">#REF!</definedName>
    <definedName name="STDKWDT" localSheetId="6">#REF!</definedName>
    <definedName name="STDKWDT">#REF!</definedName>
    <definedName name="STDKWTM" localSheetId="6">#REF!</definedName>
    <definedName name="STDKWTM">#REF!</definedName>
    <definedName name="STRTTIME" localSheetId="6">#REF!</definedName>
    <definedName name="STRTTIME">#REF!</definedName>
    <definedName name="SWP_Proj_Allocators" localSheetId="6">#REF!</definedName>
    <definedName name="SWP_Proj_Allocators">#REF!</definedName>
    <definedName name="SWPallocatorsH" localSheetId="6">#REF!</definedName>
    <definedName name="SWPallocatorsH">#REF!</definedName>
    <definedName name="SWPallocatorsP" localSheetId="6">#REF!</definedName>
    <definedName name="SWPallocatorsP">#REF!</definedName>
    <definedName name="SYSPKKW" localSheetId="6">#REF!</definedName>
    <definedName name="SYSPKKW">#REF!</definedName>
    <definedName name="SYSPKKWDT" localSheetId="6">#REF!</definedName>
    <definedName name="SYSPKKWDT">#REF!</definedName>
    <definedName name="SYSPKKWTM" localSheetId="6">#REF!</definedName>
    <definedName name="SYSPKKWTM">#REF!</definedName>
    <definedName name="TARIFF1" localSheetId="6">#REF!</definedName>
    <definedName name="TARIFF1">#REF!</definedName>
    <definedName name="TARIFF2" localSheetId="6">#REF!</definedName>
    <definedName name="TARIFF2">#REF!</definedName>
    <definedName name="TariffCode" localSheetId="6">#REF!</definedName>
    <definedName name="TariffCode">#REF!</definedName>
    <definedName name="TariffLongName" localSheetId="6">#REF!</definedName>
    <definedName name="TariffLongName">#REF!</definedName>
    <definedName name="TariffShortName" localSheetId="6">#REF!</definedName>
    <definedName name="TariffShortName">#REF!</definedName>
    <definedName name="TAXDATE" localSheetId="6">#REF!</definedName>
    <definedName name="TAXDATE">#REF!</definedName>
    <definedName name="TAXES" localSheetId="6">#REF!</definedName>
    <definedName name="TAXES">#REF!</definedName>
    <definedName name="TAXNAME" localSheetId="6">#REF!</definedName>
    <definedName name="TAXNAME">#REF!</definedName>
    <definedName name="TAXRATE" localSheetId="6">#REF!</definedName>
    <definedName name="TAXRATE">#REF!</definedName>
    <definedName name="TAXTYPE" localSheetId="6">#REF!</definedName>
    <definedName name="TAXTYPE">#REF!</definedName>
    <definedName name="TCst" localSheetId="6">#REF!</definedName>
    <definedName name="TCst">#REF!</definedName>
    <definedName name="TCst1" localSheetId="6">#REF!</definedName>
    <definedName name="TCst1">#REF!</definedName>
    <definedName name="TIRPCCHG" localSheetId="6">#REF!</definedName>
    <definedName name="TIRPCCHG">#REF!</definedName>
    <definedName name="TIRPDCHG1" localSheetId="6">#REF!</definedName>
    <definedName name="TIRPDCHG1">#REF!</definedName>
    <definedName name="TIRPDCHG2" localSheetId="6">#REF!</definedName>
    <definedName name="TIRPDCHG2">#REF!</definedName>
    <definedName name="TIRPECHG1" localSheetId="6">#REF!</definedName>
    <definedName name="TIRPECHG1">#REF!</definedName>
    <definedName name="TIRPECHGB1" localSheetId="6">#REF!</definedName>
    <definedName name="TIRPECHGB1">#REF!</definedName>
    <definedName name="TIRPECHGB2" localSheetId="6">#REF!</definedName>
    <definedName name="TIRPECHGB2">#REF!</definedName>
    <definedName name="TIRPECHGB3" localSheetId="6">#REF!</definedName>
    <definedName name="TIRPECHGB3">#REF!</definedName>
    <definedName name="TIRPMECHG1" localSheetId="6">#REF!</definedName>
    <definedName name="TIRPMECHG1">#REF!</definedName>
    <definedName name="TIRPMINDC" localSheetId="6">#REF!</definedName>
    <definedName name="TIRPMINDC">#REF!</definedName>
    <definedName name="TIRPMINEC" localSheetId="6">#REF!</definedName>
    <definedName name="TIRPMINEC">#REF!</definedName>
    <definedName name="TIRPOFKVA" localSheetId="6">#REF!</definedName>
    <definedName name="TIRPOFKVA">#REF!</definedName>
    <definedName name="TIRPOFKW" localSheetId="6">#REF!</definedName>
    <definedName name="TIRPOFKW">#REF!</definedName>
    <definedName name="TIRPOFKWH" localSheetId="6">#REF!</definedName>
    <definedName name="TIRPOFKWH">#REF!</definedName>
    <definedName name="TIRPOPKWH" localSheetId="6">#REF!</definedName>
    <definedName name="TIRPOPKWH">#REF!</definedName>
    <definedName name="TIRPP1EC" localSheetId="6">#REF!</definedName>
    <definedName name="TIRPP1EC">#REF!</definedName>
    <definedName name="TIRPP2EC" localSheetId="6">#REF!</definedName>
    <definedName name="TIRPP2EC">#REF!</definedName>
    <definedName name="TIRPP3EC" localSheetId="6">#REF!</definedName>
    <definedName name="TIRPP3EC">#REF!</definedName>
    <definedName name="TIRPP4EC" localSheetId="6">#REF!</definedName>
    <definedName name="TIRPP4EC">#REF!</definedName>
    <definedName name="TIRPP5EC" localSheetId="6">#REF!</definedName>
    <definedName name="TIRPP5EC">#REF!</definedName>
    <definedName name="TIRPRCHG" localSheetId="6">#REF!</definedName>
    <definedName name="TIRPRCHG">#REF!</definedName>
    <definedName name="TLsFctr" localSheetId="6">#REF!</definedName>
    <definedName name="TLsFctr">#REF!</definedName>
    <definedName name="TRCRDKWH" localSheetId="6">#REF!</definedName>
    <definedName name="TRCRDKWH">#REF!</definedName>
    <definedName name="TRCRDKWH2P" localSheetId="6">#REF!</definedName>
    <definedName name="TRCRDKWH2P">#REF!</definedName>
    <definedName name="TRFDATE1" localSheetId="6">#REF!</definedName>
    <definedName name="TRFDATE1">#REF!</definedName>
    <definedName name="TRFDATE2" localSheetId="6">#REF!</definedName>
    <definedName name="TRFDATE2">#REF!</definedName>
    <definedName name="TRFNAME1" localSheetId="6">#REF!</definedName>
    <definedName name="TRFNAME1">#REF!</definedName>
    <definedName name="TRFNAME2" localSheetId="6">#REF!</definedName>
    <definedName name="TRFNAME2">#REF!</definedName>
    <definedName name="TRFSHORTNM1" localSheetId="6">#REF!</definedName>
    <definedName name="TRFSHORTNM1">#REF!</definedName>
    <definedName name="TRFSHORTNM2" localSheetId="6">#REF!</definedName>
    <definedName name="TRFSHORTNM2">#REF!</definedName>
    <definedName name="TrnBlkKwhChg1" localSheetId="6">#REF!</definedName>
    <definedName name="TrnBlkKwhChg1">#REF!</definedName>
    <definedName name="TrnBlkKwhChg2" localSheetId="6">#REF!</definedName>
    <definedName name="TrnBlkKwhChg2">#REF!</definedName>
    <definedName name="TrnBlkKwhChg3" localSheetId="6">#REF!</definedName>
    <definedName name="TrnBlkKwhChg3">#REF!</definedName>
    <definedName name="TrnBlkKwhChgT" localSheetId="6">#REF!</definedName>
    <definedName name="TrnBlkKwhChgT">#REF!</definedName>
    <definedName name="TRNCCHG" localSheetId="6">#REF!</definedName>
    <definedName name="TRNCCHG">#REF!</definedName>
    <definedName name="TrnCustChg" localSheetId="6">#REF!</definedName>
    <definedName name="TrnCustChg">#REF!</definedName>
    <definedName name="TRNDCHG1" localSheetId="6">#REF!</definedName>
    <definedName name="TRNDCHG1">#REF!</definedName>
    <definedName name="TRNDCHG2" localSheetId="6">#REF!</definedName>
    <definedName name="TRNDCHG2">#REF!</definedName>
    <definedName name="TrnDmdChg1" localSheetId="6">#REF!</definedName>
    <definedName name="TrnDmdChg1">#REF!</definedName>
    <definedName name="TrnDmdChg2" localSheetId="6">#REF!</definedName>
    <definedName name="TrnDmdChg2">#REF!</definedName>
    <definedName name="TRNECHG1" localSheetId="6">#REF!</definedName>
    <definedName name="TRNECHG1">#REF!</definedName>
    <definedName name="TRNECHGB1" localSheetId="6">#REF!</definedName>
    <definedName name="TRNECHGB1">#REF!</definedName>
    <definedName name="TRNECHGB2" localSheetId="6">#REF!</definedName>
    <definedName name="TRNECHGB2">#REF!</definedName>
    <definedName name="TRNECHGB3" localSheetId="6">#REF!</definedName>
    <definedName name="TRNECHGB3">#REF!</definedName>
    <definedName name="TrnMEChg" localSheetId="6">#REF!</definedName>
    <definedName name="TrnMEChg">#REF!</definedName>
    <definedName name="TRNMECHG1" localSheetId="6">#REF!</definedName>
    <definedName name="TRNMECHG1">#REF!</definedName>
    <definedName name="TRNMINDC" localSheetId="6">#REF!</definedName>
    <definedName name="TRNMINDC">#REF!</definedName>
    <definedName name="TrnMinDChg" localSheetId="6">#REF!</definedName>
    <definedName name="TrnMinDChg">#REF!</definedName>
    <definedName name="TRNMINEC" localSheetId="6">#REF!</definedName>
    <definedName name="TRNMINEC">#REF!</definedName>
    <definedName name="TrnMinEChg" localSheetId="6">#REF!</definedName>
    <definedName name="TrnMinEChg">#REF!</definedName>
    <definedName name="TrnOffPkKwh" localSheetId="6">#REF!</definedName>
    <definedName name="TrnOffPkKwh">#REF!</definedName>
    <definedName name="TRNOFKWH" localSheetId="6">#REF!</definedName>
    <definedName name="TRNOFKWH">#REF!</definedName>
    <definedName name="TrnOnPkKwh" localSheetId="6">#REF!</definedName>
    <definedName name="TrnOnPkKwh">#REF!</definedName>
    <definedName name="TRNOPKWH" localSheetId="6">#REF!</definedName>
    <definedName name="TRNOPKWH">#REF!</definedName>
    <definedName name="TRNP1EC" localSheetId="6">#REF!</definedName>
    <definedName name="TRNP1EC">#REF!</definedName>
    <definedName name="TRNP2EC" localSheetId="6">#REF!</definedName>
    <definedName name="TRNP2EC">#REF!</definedName>
    <definedName name="TRNP3EC" localSheetId="6">#REF!</definedName>
    <definedName name="TRNP3EC">#REF!</definedName>
    <definedName name="TRNP4EC" localSheetId="6">#REF!</definedName>
    <definedName name="TRNP4EC">#REF!</definedName>
    <definedName name="TRNP5EC" localSheetId="6">#REF!</definedName>
    <definedName name="TRNP5EC">#REF!</definedName>
    <definedName name="TrnPL1Chg" localSheetId="6">#REF!</definedName>
    <definedName name="TrnPL1Chg">#REF!</definedName>
    <definedName name="TrnPL2Chg" localSheetId="6">#REF!</definedName>
    <definedName name="TrnPL2Chg">#REF!</definedName>
    <definedName name="TrnPL3Chg" localSheetId="6">#REF!</definedName>
    <definedName name="TrnPL3Chg">#REF!</definedName>
    <definedName name="TrnPL4Chg" localSheetId="6">#REF!</definedName>
    <definedName name="TrnPL4Chg">#REF!</definedName>
    <definedName name="TrnPL5Chg" localSheetId="6">#REF!</definedName>
    <definedName name="TrnPL5Chg">#REF!</definedName>
    <definedName name="TRNRCHG" localSheetId="6">#REF!</definedName>
    <definedName name="TRNRCHG">#REF!</definedName>
    <definedName name="TrnReactiveChg" localSheetId="6">#REF!</definedName>
    <definedName name="TrnReactiveChg">#REF!</definedName>
    <definedName name="TRNSKWTOFPK" localSheetId="6">#REF!</definedName>
    <definedName name="TRNSKWTOFPK">#REF!</definedName>
    <definedName name="TRNSKWTONPK" localSheetId="6">#REF!</definedName>
    <definedName name="TRNSKWTONPK">#REF!</definedName>
    <definedName name="TRNXOFKVA" localSheetId="6">#REF!</definedName>
    <definedName name="TRNXOFKVA">#REF!</definedName>
    <definedName name="TRNXOFKW" localSheetId="6">#REF!</definedName>
    <definedName name="TRNXOFKW">#REF!</definedName>
    <definedName name="TrnXOfpKvaChg" localSheetId="6">#REF!</definedName>
    <definedName name="TrnXOfpKvaChg">#REF!</definedName>
    <definedName name="TrnXOfpKwChg" localSheetId="6">#REF!</definedName>
    <definedName name="TrnXOfpKwChg">#REF!</definedName>
    <definedName name="TTLBSRATETTL" localSheetId="6">#REF!</definedName>
    <definedName name="TTLBSRATETTL">#REF!</definedName>
    <definedName name="TTLCOGENKWH" localSheetId="6">#REF!</definedName>
    <definedName name="TTLCOGENKWH">#REF!</definedName>
    <definedName name="UNBUNDIND" localSheetId="6">#REF!</definedName>
    <definedName name="UNBUNDIND">#REF!</definedName>
    <definedName name="Z_3768C7C8_9953_11DA_B318_000FB55D51DC_.wvu.PrintArea" localSheetId="8" hidden="1">'WS C  - Working Capital'!$A$10:$N$73</definedName>
    <definedName name="Z_3768C7C8_9953_11DA_B318_000FB55D51DC_.wvu.PrintTitles" localSheetId="8" hidden="1">'WS C  - Working Capital'!#REF!</definedName>
    <definedName name="Z_3768C7C8_9953_11DA_B318_000FB55D51DC_.wvu.Rows" localSheetId="8" hidden="1">'WS C  - Working Capital'!#REF!</definedName>
    <definedName name="Z_3BDD6235_B127_4929_8311_BDAF7BB89818_.wvu.PrintArea" localSheetId="8" hidden="1">'WS C  - Working Capital'!$A$10:$N$73</definedName>
    <definedName name="Z_3BDD6235_B127_4929_8311_BDAF7BB89818_.wvu.PrintTitles" localSheetId="8" hidden="1">'WS C  - Working Capital'!#REF!</definedName>
    <definedName name="Z_3BDD6235_B127_4929_8311_BDAF7BB89818_.wvu.Rows" localSheetId="8" hidden="1">'WS C  - Working Capital'!#REF!</definedName>
    <definedName name="Z_B0241363_5C8A_48FC_89A6_56D55586BABE_.wvu.PrintArea" localSheetId="8" hidden="1">'WS C  - Working Capital'!$A$10:$N$73</definedName>
    <definedName name="Z_B0241363_5C8A_48FC_89A6_56D55586BABE_.wvu.PrintTitles" localSheetId="8" hidden="1">'WS C  - Working Capital'!#REF!</definedName>
    <definedName name="Z_B0241363_5C8A_48FC_89A6_56D55586BABE_.wvu.Rows" localSheetId="8" hidden="1">'WS C  - Working Capital'!#REF!</definedName>
    <definedName name="Z_C0EA0F9F_7310_4201_82C9_7B8FC8DB9137_.wvu.PrintArea" localSheetId="8" hidden="1">'WS C  - Working Capital'!$A$10:$N$73</definedName>
    <definedName name="Z_C0EA0F9F_7310_4201_82C9_7B8FC8DB9137_.wvu.PrintTitles" localSheetId="8" hidden="1">'WS C  - Working Capital'!#REF!</definedName>
    <definedName name="Z_C0EA0F9F_7310_4201_82C9_7B8FC8DB9137_.wvu.Rows" localSheetId="8" hidden="1">'WS C  - Working Capital'!#REF!</definedName>
    <definedName name="Z_C5140E12_E05E_4473_9142_42F37320A417_.wvu.Cols" localSheetId="14" hidden="1">'WS H-1-Detail of Tax Amts'!#REF!</definedName>
    <definedName name="Z_C5140E12_E05E_4473_9142_42F37320A417_.wvu.PrintArea" localSheetId="14" hidden="1">'WS H-1-Detail of Tax Amts'!$A$3:$F$117</definedName>
    <definedName name="Z_C5140E12_E05E_4473_9142_42F37320A417_.wvu.PrintArea" localSheetId="16" hidden="1">'WS J PROJECTED RTEP RR'!$A$3:$O$81</definedName>
    <definedName name="Z_C5140E12_E05E_4473_9142_42F37320A417_.wvu.PrintTitles" localSheetId="14" hidden="1">'WS H-1-Detail of Tax Amts'!$3:$7</definedName>
    <definedName name="Zip" localSheetId="23">#REF!</definedName>
    <definedName name="Zip" localSheetId="6">#REF!</definedName>
    <definedName name="Zi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19" i="38" l="1"/>
  <c r="E110" i="30" l="1"/>
  <c r="G142" i="2" l="1"/>
  <c r="K68" i="6" l="1"/>
  <c r="E68" i="6" s="1"/>
  <c r="J67" i="6"/>
  <c r="K67" i="6" s="1"/>
  <c r="I66" i="6"/>
  <c r="K66" i="6" s="1"/>
  <c r="E66" i="6" s="1"/>
  <c r="K65" i="6"/>
  <c r="E65" i="6" s="1"/>
  <c r="K64" i="6"/>
  <c r="E64" i="6" s="1"/>
  <c r="J63" i="6"/>
  <c r="K63" i="6" s="1"/>
  <c r="E63" i="6" s="1"/>
  <c r="K62" i="6"/>
  <c r="E62" i="6" s="1"/>
  <c r="K61" i="6"/>
  <c r="K60" i="6"/>
  <c r="E60" i="6"/>
  <c r="I59" i="6"/>
  <c r="K59" i="6" s="1"/>
  <c r="E50" i="9" l="1"/>
  <c r="E47" i="9"/>
  <c r="E49" i="9"/>
  <c r="E48" i="9"/>
  <c r="E46" i="9"/>
  <c r="E40" i="9"/>
  <c r="E67" i="6"/>
  <c r="E59" i="6"/>
  <c r="Q47" i="51"/>
  <c r="Q46" i="51"/>
  <c r="Q23" i="51"/>
  <c r="P48" i="51" l="1"/>
  <c r="Q22" i="51"/>
  <c r="P24" i="51"/>
  <c r="P40" i="51" l="1"/>
  <c r="M55" i="51"/>
  <c r="P55" i="51" s="1"/>
  <c r="P14" i="51"/>
  <c r="M31" i="51"/>
  <c r="P31" i="51" s="1"/>
  <c r="D72" i="6"/>
  <c r="F37" i="53" l="1"/>
  <c r="D37" i="53"/>
  <c r="H35" i="53"/>
  <c r="L32" i="53"/>
  <c r="N32" i="53" s="1"/>
  <c r="H32" i="53"/>
  <c r="J30" i="53"/>
  <c r="H30" i="53"/>
  <c r="F25" i="53"/>
  <c r="D23" i="53"/>
  <c r="H23" i="53" s="1"/>
  <c r="L19" i="53"/>
  <c r="N19" i="53" s="1"/>
  <c r="H19" i="53"/>
  <c r="L17" i="53"/>
  <c r="N17" i="53" s="1"/>
  <c r="H17" i="53"/>
  <c r="A17" i="53"/>
  <c r="A19" i="53" s="1"/>
  <c r="A21" i="53" s="1"/>
  <c r="A22" i="53" s="1"/>
  <c r="A23" i="53" s="1"/>
  <c r="A25" i="53" s="1"/>
  <c r="A30" i="53" s="1"/>
  <c r="A32" i="53" s="1"/>
  <c r="A35" i="53" s="1"/>
  <c r="A37" i="53" s="1"/>
  <c r="J15" i="53"/>
  <c r="H15" i="53"/>
  <c r="D25" i="53" l="1"/>
  <c r="L30" i="53"/>
  <c r="L15" i="53"/>
  <c r="N15" i="53" s="1"/>
  <c r="J23" i="53"/>
  <c r="L23" i="53" s="1"/>
  <c r="J35" i="53"/>
  <c r="L35" i="53" s="1"/>
  <c r="N35" i="53" s="1"/>
  <c r="L25" i="53" l="1"/>
  <c r="L37" i="53"/>
  <c r="N30" i="53"/>
  <c r="N37" i="53" s="1"/>
  <c r="J37" i="53"/>
  <c r="N23" i="53"/>
  <c r="N25" i="53" s="1"/>
  <c r="J25" i="53"/>
  <c r="D111" i="38"/>
  <c r="C111" i="38"/>
  <c r="D72" i="39"/>
  <c r="C72" i="39"/>
  <c r="D69" i="39"/>
  <c r="C69" i="39"/>
  <c r="K65" i="39"/>
  <c r="J65" i="39"/>
  <c r="I65" i="39"/>
  <c r="D65" i="39"/>
  <c r="C65" i="39"/>
  <c r="G111" i="38" l="1"/>
  <c r="G65" i="39"/>
  <c r="G72" i="39"/>
  <c r="G69" i="39"/>
  <c r="C104" i="38" l="1"/>
  <c r="D104" i="38"/>
  <c r="I104" i="38"/>
  <c r="J104" i="38"/>
  <c r="K104" i="38"/>
  <c r="C105" i="38"/>
  <c r="D105" i="38"/>
  <c r="I105" i="38"/>
  <c r="J105" i="38"/>
  <c r="K105" i="38"/>
  <c r="C101" i="38"/>
  <c r="D101" i="38"/>
  <c r="I101" i="38"/>
  <c r="J101" i="38"/>
  <c r="K101" i="38"/>
  <c r="C102" i="38"/>
  <c r="D102" i="38"/>
  <c r="I102" i="38"/>
  <c r="J102" i="38"/>
  <c r="K102" i="38"/>
  <c r="G105" i="38" l="1"/>
  <c r="G101" i="38"/>
  <c r="G104" i="38"/>
  <c r="G102" i="38"/>
  <c r="K52" i="38" l="1"/>
  <c r="J52" i="38"/>
  <c r="I52" i="38"/>
  <c r="D52" i="38"/>
  <c r="F53" i="38" s="1"/>
  <c r="D53" i="38" s="1"/>
  <c r="C52" i="38"/>
  <c r="K106" i="38"/>
  <c r="J106" i="38"/>
  <c r="I106" i="38"/>
  <c r="D106" i="38"/>
  <c r="F107" i="38" s="1"/>
  <c r="D107" i="38" s="1"/>
  <c r="C106" i="38"/>
  <c r="C66" i="39"/>
  <c r="E67" i="39" s="1"/>
  <c r="C67" i="39" s="1"/>
  <c r="G106" i="38" l="1"/>
  <c r="G52" i="38"/>
  <c r="E53" i="38"/>
  <c r="E107" i="38"/>
  <c r="C107" i="38" s="1"/>
  <c r="G107" i="38" s="1"/>
  <c r="G53" i="38" l="1"/>
  <c r="C53" i="38"/>
  <c r="D112" i="38" l="1"/>
  <c r="C112" i="38"/>
  <c r="D56" i="38"/>
  <c r="C56" i="38"/>
  <c r="D73" i="39"/>
  <c r="C73" i="39"/>
  <c r="G73" i="39" l="1"/>
  <c r="G56" i="38"/>
  <c r="G112" i="38"/>
  <c r="I46" i="6"/>
  <c r="I39" i="6"/>
  <c r="E45" i="9" l="1"/>
  <c r="E69" i="9"/>
  <c r="E67" i="9"/>
  <c r="E66" i="9"/>
  <c r="E65" i="9"/>
  <c r="E41" i="9"/>
  <c r="O116" i="38"/>
  <c r="O122" i="38" s="1"/>
  <c r="N116" i="38"/>
  <c r="N122" i="38" s="1"/>
  <c r="M116" i="38"/>
  <c r="M122" i="38" s="1"/>
  <c r="O61" i="38"/>
  <c r="N61" i="38"/>
  <c r="M61" i="38"/>
  <c r="O60" i="38"/>
  <c r="N60" i="38"/>
  <c r="M60" i="38"/>
  <c r="O23" i="38"/>
  <c r="N23" i="38"/>
  <c r="M23" i="38"/>
  <c r="G27" i="5" l="1"/>
  <c r="G25" i="5"/>
  <c r="G33" i="5"/>
  <c r="H236" i="2"/>
  <c r="J58" i="51"/>
  <c r="I58" i="51"/>
  <c r="L46" i="2" l="1"/>
  <c r="L45" i="2"/>
  <c r="F86" i="35" l="1"/>
  <c r="I39" i="52" l="1"/>
  <c r="E39" i="52"/>
  <c r="I38" i="52"/>
  <c r="E38" i="52"/>
  <c r="I37" i="52"/>
  <c r="E37" i="52"/>
  <c r="I36" i="52"/>
  <c r="E36" i="52"/>
  <c r="I35" i="52"/>
  <c r="E35" i="52"/>
  <c r="I34" i="52"/>
  <c r="E34" i="52"/>
  <c r="I33" i="52"/>
  <c r="E33" i="52"/>
  <c r="I32" i="52"/>
  <c r="E32" i="52"/>
  <c r="I31" i="52"/>
  <c r="E31" i="52"/>
  <c r="I27" i="52"/>
  <c r="E27" i="52"/>
  <c r="I26" i="52"/>
  <c r="E26" i="52"/>
  <c r="I25" i="52"/>
  <c r="E25" i="52"/>
  <c r="I24" i="52"/>
  <c r="E24" i="52"/>
  <c r="I23" i="52"/>
  <c r="E23" i="52"/>
  <c r="I22" i="52"/>
  <c r="E22" i="52"/>
  <c r="I21" i="52"/>
  <c r="E21" i="52"/>
  <c r="I20" i="52"/>
  <c r="E20" i="52"/>
  <c r="I19" i="52"/>
  <c r="E19" i="52"/>
  <c r="Q39" i="31"/>
  <c r="M39" i="31"/>
  <c r="I39" i="31"/>
  <c r="E39" i="31"/>
  <c r="Q38" i="31"/>
  <c r="M38" i="31"/>
  <c r="I38" i="31"/>
  <c r="E38" i="31"/>
  <c r="Q37" i="31"/>
  <c r="M37" i="31"/>
  <c r="I37" i="31"/>
  <c r="E37" i="31"/>
  <c r="Q36" i="31"/>
  <c r="M36" i="31"/>
  <c r="I36" i="31"/>
  <c r="E36" i="31"/>
  <c r="Q35" i="31"/>
  <c r="M35" i="31"/>
  <c r="I35" i="31"/>
  <c r="E35" i="31"/>
  <c r="Q34" i="31"/>
  <c r="M34" i="31"/>
  <c r="I34" i="31"/>
  <c r="E34" i="31"/>
  <c r="Q33" i="31"/>
  <c r="M33" i="31"/>
  <c r="I33" i="31"/>
  <c r="E33" i="31"/>
  <c r="Q32" i="31"/>
  <c r="M32" i="31"/>
  <c r="I32" i="31"/>
  <c r="E32" i="31"/>
  <c r="Q31" i="31"/>
  <c r="M31" i="31"/>
  <c r="I31" i="31"/>
  <c r="E31" i="31"/>
  <c r="Q28" i="31"/>
  <c r="M28" i="31"/>
  <c r="I28" i="31"/>
  <c r="E28" i="31"/>
  <c r="Q27" i="31"/>
  <c r="M27" i="31"/>
  <c r="I27" i="31"/>
  <c r="E27" i="31"/>
  <c r="Q26" i="31"/>
  <c r="M26" i="31"/>
  <c r="I26" i="31"/>
  <c r="E26" i="31"/>
  <c r="Q25" i="31"/>
  <c r="M25" i="31"/>
  <c r="I25" i="31"/>
  <c r="E25" i="31"/>
  <c r="Q24" i="31"/>
  <c r="M24" i="31"/>
  <c r="I24" i="31"/>
  <c r="E24" i="31"/>
  <c r="Q23" i="31"/>
  <c r="M23" i="31"/>
  <c r="I23" i="31"/>
  <c r="E23" i="31"/>
  <c r="Q22" i="31"/>
  <c r="M22" i="31"/>
  <c r="I22" i="31"/>
  <c r="E22" i="31"/>
  <c r="I21" i="31"/>
  <c r="S21" i="31" s="1"/>
  <c r="E20" i="31"/>
  <c r="S20" i="31" s="1"/>
  <c r="K20" i="52" l="1"/>
  <c r="K35" i="52"/>
  <c r="K22" i="52"/>
  <c r="K38" i="52"/>
  <c r="K23" i="52"/>
  <c r="K27" i="52"/>
  <c r="K34" i="52"/>
  <c r="K39" i="52"/>
  <c r="K26" i="52"/>
  <c r="K19" i="52"/>
  <c r="K31" i="52"/>
  <c r="K21" i="52"/>
  <c r="K25" i="52"/>
  <c r="K32" i="52"/>
  <c r="K33" i="52"/>
  <c r="K37" i="52"/>
  <c r="S22" i="31"/>
  <c r="S23" i="31"/>
  <c r="S24" i="31"/>
  <c r="S25" i="31"/>
  <c r="S26" i="31"/>
  <c r="S27" i="31"/>
  <c r="S28" i="31"/>
  <c r="S31" i="31"/>
  <c r="S32" i="31"/>
  <c r="S33" i="31"/>
  <c r="S34" i="31"/>
  <c r="S35" i="31"/>
  <c r="S36" i="31"/>
  <c r="S37" i="31"/>
  <c r="S38" i="31"/>
  <c r="S39" i="31"/>
  <c r="K24" i="52"/>
  <c r="K36" i="52"/>
  <c r="G44" i="48"/>
  <c r="D43" i="48" l="1"/>
  <c r="H43" i="48"/>
  <c r="I43" i="48"/>
  <c r="F43" i="48"/>
  <c r="J43" i="48"/>
  <c r="G43" i="48"/>
  <c r="C50" i="38" l="1"/>
  <c r="D50" i="38"/>
  <c r="I50" i="38"/>
  <c r="J50" i="38"/>
  <c r="K50" i="38"/>
  <c r="C103" i="38"/>
  <c r="D103" i="38"/>
  <c r="I103" i="38"/>
  <c r="J103" i="38"/>
  <c r="K103" i="38"/>
  <c r="G103" i="38" l="1"/>
  <c r="G50" i="38"/>
  <c r="C72" i="38" l="1"/>
  <c r="D72" i="38"/>
  <c r="I72" i="38"/>
  <c r="J72" i="38"/>
  <c r="K72" i="38"/>
  <c r="C73" i="38"/>
  <c r="D73" i="38"/>
  <c r="I73" i="38"/>
  <c r="J73" i="38"/>
  <c r="K73" i="38"/>
  <c r="C67" i="38"/>
  <c r="D67" i="38"/>
  <c r="I67" i="38"/>
  <c r="J67" i="38"/>
  <c r="K67" i="38"/>
  <c r="A66" i="38"/>
  <c r="A67" i="38" s="1"/>
  <c r="A68" i="38" s="1"/>
  <c r="A69" i="38" s="1"/>
  <c r="C61" i="39"/>
  <c r="D61" i="39"/>
  <c r="I61" i="39"/>
  <c r="J61" i="39"/>
  <c r="K61" i="39"/>
  <c r="C62" i="39"/>
  <c r="D62" i="39"/>
  <c r="I62" i="39"/>
  <c r="J62" i="39"/>
  <c r="K62" i="39"/>
  <c r="C37" i="39"/>
  <c r="D37" i="39"/>
  <c r="I37" i="39"/>
  <c r="J37" i="39"/>
  <c r="K37" i="39"/>
  <c r="K28" i="39"/>
  <c r="J28" i="39"/>
  <c r="I28" i="39"/>
  <c r="D28" i="39"/>
  <c r="C28" i="39"/>
  <c r="E68" i="9"/>
  <c r="G72" i="38" l="1"/>
  <c r="G67" i="38"/>
  <c r="G62" i="39"/>
  <c r="G61" i="39"/>
  <c r="G37" i="39"/>
  <c r="G28" i="39"/>
  <c r="G73" i="38"/>
  <c r="A8" i="50"/>
  <c r="A8" i="49"/>
  <c r="F15" i="50"/>
  <c r="F15" i="49"/>
  <c r="B39" i="50"/>
  <c r="B40" i="50" s="1"/>
  <c r="B41" i="50" s="1"/>
  <c r="B42" i="50" s="1"/>
  <c r="B43" i="50" s="1"/>
  <c r="B44" i="50" s="1"/>
  <c r="B45" i="50" s="1"/>
  <c r="B46" i="50" s="1"/>
  <c r="B47" i="50" s="1"/>
  <c r="B48" i="50" s="1"/>
  <c r="B49" i="50" s="1"/>
  <c r="B50" i="50" s="1"/>
  <c r="B36" i="50"/>
  <c r="B21" i="50"/>
  <c r="B22" i="50" s="1"/>
  <c r="B23" i="50" s="1"/>
  <c r="B24" i="50" s="1"/>
  <c r="B25" i="50" s="1"/>
  <c r="B26" i="50" s="1"/>
  <c r="B27" i="50" s="1"/>
  <c r="B28" i="50" s="1"/>
  <c r="B29" i="50" s="1"/>
  <c r="B30" i="50" s="1"/>
  <c r="B31" i="50" s="1"/>
  <c r="B32" i="50" s="1"/>
  <c r="B39" i="49"/>
  <c r="B40" i="49" s="1"/>
  <c r="B41" i="49" s="1"/>
  <c r="B42" i="49" s="1"/>
  <c r="B43" i="49" s="1"/>
  <c r="B44" i="49" s="1"/>
  <c r="B45" i="49" s="1"/>
  <c r="B46" i="49" s="1"/>
  <c r="B47" i="49" s="1"/>
  <c r="B48" i="49" s="1"/>
  <c r="B49" i="49" s="1"/>
  <c r="B50" i="49" s="1"/>
  <c r="B36" i="49"/>
  <c r="B21" i="49"/>
  <c r="B22" i="49" s="1"/>
  <c r="B23" i="49" s="1"/>
  <c r="B24" i="49" s="1"/>
  <c r="B25" i="49" s="1"/>
  <c r="B26" i="49" s="1"/>
  <c r="B27" i="49" s="1"/>
  <c r="B28" i="49" s="1"/>
  <c r="B29" i="49" s="1"/>
  <c r="B30" i="49" s="1"/>
  <c r="B31" i="49" s="1"/>
  <c r="B32" i="49" s="1"/>
  <c r="B39" i="47"/>
  <c r="B40" i="47" s="1"/>
  <c r="B41" i="47" s="1"/>
  <c r="B42" i="47" s="1"/>
  <c r="B43" i="47" s="1"/>
  <c r="B44" i="47" s="1"/>
  <c r="B45" i="47" s="1"/>
  <c r="B46" i="47" s="1"/>
  <c r="B47" i="47" s="1"/>
  <c r="B48" i="47" s="1"/>
  <c r="B49" i="47" s="1"/>
  <c r="B50" i="47" s="1"/>
  <c r="B36" i="47"/>
  <c r="B21" i="47"/>
  <c r="B22" i="47" s="1"/>
  <c r="B23" i="47" s="1"/>
  <c r="B24" i="47" s="1"/>
  <c r="B25" i="47" s="1"/>
  <c r="B26" i="47" s="1"/>
  <c r="B27" i="47" s="1"/>
  <c r="B28" i="47" s="1"/>
  <c r="B29" i="47" s="1"/>
  <c r="B30" i="47" s="1"/>
  <c r="B31" i="47" s="1"/>
  <c r="B32" i="47" s="1"/>
  <c r="A8" i="47"/>
  <c r="K40" i="6" l="1"/>
  <c r="A29" i="38"/>
  <c r="A30" i="38" s="1"/>
  <c r="A31" i="38" s="1"/>
  <c r="A32" i="38" s="1"/>
  <c r="A33" i="38" s="1"/>
  <c r="A34" i="38" s="1"/>
  <c r="A35" i="38" s="1"/>
  <c r="A36" i="38" s="1"/>
  <c r="A37" i="38" s="1"/>
  <c r="A38" i="38" s="1"/>
  <c r="A39" i="38" s="1"/>
  <c r="A40" i="38" s="1"/>
  <c r="A41" i="38" s="1"/>
  <c r="A42" i="38" s="1"/>
  <c r="A43" i="38" s="1"/>
  <c r="A44" i="38" s="1"/>
  <c r="A45" i="38" s="1"/>
  <c r="A46" i="38" s="1"/>
  <c r="A47" i="38" s="1"/>
  <c r="A48" i="38" l="1"/>
  <c r="A49" i="38" s="1"/>
  <c r="A50" i="38" s="1"/>
  <c r="A51" i="38" s="1"/>
  <c r="E15" i="30"/>
  <c r="A52" i="38" l="1"/>
  <c r="A53" i="38" s="1"/>
  <c r="A54" i="38" s="1"/>
  <c r="A55" i="38" s="1"/>
  <c r="A56" i="38" s="1"/>
  <c r="A57" i="38" s="1"/>
  <c r="E75" i="30"/>
  <c r="E79" i="30"/>
  <c r="O58" i="51" l="1"/>
  <c r="N58" i="51"/>
  <c r="L58" i="51"/>
  <c r="K58" i="51"/>
  <c r="F58" i="51"/>
  <c r="B58" i="51"/>
  <c r="P54" i="51"/>
  <c r="M58" i="51"/>
  <c r="P53" i="51"/>
  <c r="P49" i="51"/>
  <c r="Q45" i="51"/>
  <c r="P44" i="51"/>
  <c r="P43" i="51"/>
  <c r="Q42" i="51"/>
  <c r="Q41" i="51"/>
  <c r="P39" i="51"/>
  <c r="O34" i="51"/>
  <c r="N34" i="51"/>
  <c r="L34" i="51"/>
  <c r="K34" i="51"/>
  <c r="J34" i="51"/>
  <c r="I34" i="51"/>
  <c r="F34" i="51"/>
  <c r="B34" i="51"/>
  <c r="P30" i="51"/>
  <c r="P29" i="51"/>
  <c r="P25" i="51"/>
  <c r="Q21" i="51"/>
  <c r="P20" i="51"/>
  <c r="P19" i="51"/>
  <c r="Q18" i="51"/>
  <c r="Q17" i="51"/>
  <c r="P16" i="51"/>
  <c r="Q15" i="51"/>
  <c r="P13" i="51"/>
  <c r="P58" i="51" l="1"/>
  <c r="Q58" i="51"/>
  <c r="Q34" i="51"/>
  <c r="P34" i="51"/>
  <c r="M34" i="51"/>
  <c r="K63" i="39" l="1"/>
  <c r="J63" i="39"/>
  <c r="I63" i="39"/>
  <c r="D63" i="39"/>
  <c r="C63" i="39"/>
  <c r="G63" i="39" l="1"/>
  <c r="C34" i="38" l="1"/>
  <c r="D34" i="38"/>
  <c r="I34" i="38"/>
  <c r="J34" i="38"/>
  <c r="K34" i="38"/>
  <c r="C48" i="38"/>
  <c r="D48" i="38"/>
  <c r="I48" i="38"/>
  <c r="J48" i="38"/>
  <c r="K48" i="38"/>
  <c r="C49" i="38"/>
  <c r="D49" i="38"/>
  <c r="I49" i="38"/>
  <c r="J49" i="38"/>
  <c r="K49" i="38"/>
  <c r="C29" i="38"/>
  <c r="D29" i="38"/>
  <c r="I29" i="38"/>
  <c r="J29" i="38"/>
  <c r="K29" i="38"/>
  <c r="C30" i="38"/>
  <c r="D30" i="38"/>
  <c r="I30" i="38"/>
  <c r="J30" i="38"/>
  <c r="K30" i="38"/>
  <c r="C53" i="39"/>
  <c r="D53" i="39"/>
  <c r="I53" i="39"/>
  <c r="J53" i="39"/>
  <c r="K53" i="39"/>
  <c r="G34" i="38" l="1"/>
  <c r="G49" i="38"/>
  <c r="G30" i="38"/>
  <c r="G48" i="38"/>
  <c r="G29" i="38"/>
  <c r="G53" i="39"/>
  <c r="D42" i="9" l="1"/>
  <c r="E39" i="9"/>
  <c r="F10" i="10" l="1"/>
  <c r="F14" i="10"/>
  <c r="F18" i="10"/>
  <c r="S78" i="39" l="1"/>
  <c r="R78" i="39"/>
  <c r="Q78" i="39"/>
  <c r="O78" i="39"/>
  <c r="N78" i="39"/>
  <c r="M78" i="39"/>
  <c r="E78" i="39"/>
  <c r="F78" i="39"/>
  <c r="C70" i="39"/>
  <c r="D70" i="39"/>
  <c r="C71" i="39"/>
  <c r="D71" i="39"/>
  <c r="C74" i="39"/>
  <c r="D74" i="39"/>
  <c r="C75" i="39"/>
  <c r="D75" i="39"/>
  <c r="D68" i="39"/>
  <c r="C68" i="39"/>
  <c r="G42" i="5" l="1"/>
  <c r="E42" i="5"/>
  <c r="E18" i="5"/>
  <c r="G18" i="5"/>
  <c r="D120" i="38"/>
  <c r="C120" i="38"/>
  <c r="S123" i="38"/>
  <c r="R123" i="38"/>
  <c r="Q123" i="38"/>
  <c r="O123" i="38"/>
  <c r="N123" i="38"/>
  <c r="M123" i="38"/>
  <c r="E123" i="38"/>
  <c r="F123" i="38"/>
  <c r="C109" i="38"/>
  <c r="D109" i="38"/>
  <c r="C110" i="38"/>
  <c r="D110" i="38"/>
  <c r="D108" i="38"/>
  <c r="C108" i="38"/>
  <c r="S61" i="38"/>
  <c r="R61" i="38"/>
  <c r="Q61" i="38"/>
  <c r="G26" i="5"/>
  <c r="E61" i="38"/>
  <c r="F61" i="38"/>
  <c r="C55" i="38"/>
  <c r="D55" i="38"/>
  <c r="C57" i="38"/>
  <c r="D57" i="38"/>
  <c r="D54" i="38"/>
  <c r="C54" i="38"/>
  <c r="D21" i="38"/>
  <c r="C21" i="38"/>
  <c r="G108" i="38" l="1"/>
  <c r="G34" i="5"/>
  <c r="G35" i="5"/>
  <c r="G110" i="38"/>
  <c r="E34" i="5"/>
  <c r="G109" i="38"/>
  <c r="E26" i="5"/>
  <c r="E40" i="6"/>
  <c r="J47" i="6" l="1"/>
  <c r="J43" i="6"/>
  <c r="F31" i="10" l="1"/>
  <c r="F26" i="10"/>
  <c r="F22" i="10"/>
  <c r="K47" i="6"/>
  <c r="E47" i="6" s="1"/>
  <c r="D23" i="35"/>
  <c r="G67" i="2" s="1"/>
  <c r="L67" i="2" s="1"/>
  <c r="G155" i="2"/>
  <c r="G154" i="2"/>
  <c r="D100" i="20"/>
  <c r="C100" i="20"/>
  <c r="C101" i="20" s="1"/>
  <c r="C102" i="20" s="1"/>
  <c r="C103" i="20" s="1"/>
  <c r="C104" i="20" s="1"/>
  <c r="C105" i="20" s="1"/>
  <c r="C106" i="20" s="1"/>
  <c r="C107" i="20" s="1"/>
  <c r="C108" i="20" s="1"/>
  <c r="C109" i="20" s="1"/>
  <c r="C110" i="20" s="1"/>
  <c r="C111" i="20" s="1"/>
  <c r="C112" i="20" s="1"/>
  <c r="C113" i="20" s="1"/>
  <c r="C114" i="20" s="1"/>
  <c r="C115" i="20" s="1"/>
  <c r="C116" i="20" s="1"/>
  <c r="C117" i="20" s="1"/>
  <c r="C118" i="20" s="1"/>
  <c r="C119" i="20" s="1"/>
  <c r="C120" i="20" s="1"/>
  <c r="C121" i="20" s="1"/>
  <c r="C122" i="20" s="1"/>
  <c r="C123" i="20" s="1"/>
  <c r="C124" i="20" s="1"/>
  <c r="C125" i="20" s="1"/>
  <c r="C126" i="20" s="1"/>
  <c r="C127" i="20" s="1"/>
  <c r="C128" i="20" s="1"/>
  <c r="C129" i="20" s="1"/>
  <c r="C130" i="20" s="1"/>
  <c r="C131" i="20" s="1"/>
  <c r="C132" i="20" s="1"/>
  <c r="C133" i="20" s="1"/>
  <c r="C134" i="20" s="1"/>
  <c r="C135" i="20" s="1"/>
  <c r="C136" i="20" s="1"/>
  <c r="C137" i="20" s="1"/>
  <c r="C138" i="20" s="1"/>
  <c r="C139" i="20" s="1"/>
  <c r="C140" i="20" s="1"/>
  <c r="C141" i="20" s="1"/>
  <c r="C142" i="20" s="1"/>
  <c r="C143" i="20" s="1"/>
  <c r="C144" i="20" s="1"/>
  <c r="C145" i="20" s="1"/>
  <c r="C146" i="20" s="1"/>
  <c r="C147" i="20" s="1"/>
  <c r="C148" i="20" s="1"/>
  <c r="C149" i="20" s="1"/>
  <c r="C150" i="20" s="1"/>
  <c r="C151" i="20" s="1"/>
  <c r="C152" i="20" s="1"/>
  <c r="C153" i="20" s="1"/>
  <c r="C154" i="20" s="1"/>
  <c r="C155" i="20" s="1"/>
  <c r="C156" i="20" s="1"/>
  <c r="C157" i="20" s="1"/>
  <c r="C158" i="20" s="1"/>
  <c r="C159" i="20" s="1"/>
  <c r="K95" i="20"/>
  <c r="I94" i="20"/>
  <c r="O81" i="20"/>
  <c r="N81" i="20"/>
  <c r="G22" i="50"/>
  <c r="G23" i="50" s="1"/>
  <c r="G24" i="50" s="1"/>
  <c r="G25" i="50" s="1"/>
  <c r="G26" i="50" s="1"/>
  <c r="G27" i="50" s="1"/>
  <c r="G28" i="50" s="1"/>
  <c r="G29" i="50" s="1"/>
  <c r="G30" i="50" s="1"/>
  <c r="G31" i="50" s="1"/>
  <c r="G32" i="50" s="1"/>
  <c r="F21" i="50"/>
  <c r="F22" i="50" s="1"/>
  <c r="F23" i="50" s="1"/>
  <c r="F24" i="50" s="1"/>
  <c r="F25" i="50" s="1"/>
  <c r="H10" i="50"/>
  <c r="D21" i="50" s="1"/>
  <c r="D22" i="50" s="1"/>
  <c r="F10" i="50"/>
  <c r="B10" i="50"/>
  <c r="G22" i="49"/>
  <c r="G23" i="49" s="1"/>
  <c r="G24" i="49" s="1"/>
  <c r="G25" i="49" s="1"/>
  <c r="G26" i="49" s="1"/>
  <c r="G27" i="49" s="1"/>
  <c r="G28" i="49" s="1"/>
  <c r="G29" i="49" s="1"/>
  <c r="G30" i="49" s="1"/>
  <c r="G31" i="49" s="1"/>
  <c r="G32" i="49" s="1"/>
  <c r="F21" i="49"/>
  <c r="F22" i="49" s="1"/>
  <c r="F23" i="49" s="1"/>
  <c r="F24" i="49" s="1"/>
  <c r="F25" i="49" s="1"/>
  <c r="F26" i="49" s="1"/>
  <c r="F27" i="49" s="1"/>
  <c r="F28" i="49" s="1"/>
  <c r="F29" i="49" s="1"/>
  <c r="F30" i="49" s="1"/>
  <c r="F31" i="49" s="1"/>
  <c r="H10" i="49"/>
  <c r="D21" i="49" s="1"/>
  <c r="F10" i="49"/>
  <c r="B10" i="49"/>
  <c r="G22" i="47"/>
  <c r="G23" i="47" s="1"/>
  <c r="G24" i="47" s="1"/>
  <c r="G25" i="47" s="1"/>
  <c r="G26" i="47" s="1"/>
  <c r="G27" i="47" s="1"/>
  <c r="G28" i="47" s="1"/>
  <c r="G29" i="47" s="1"/>
  <c r="G30" i="47" s="1"/>
  <c r="G31" i="47" s="1"/>
  <c r="G32" i="47" s="1"/>
  <c r="F21" i="47"/>
  <c r="F22" i="47" s="1"/>
  <c r="F23" i="47" s="1"/>
  <c r="F24" i="47" s="1"/>
  <c r="H10" i="47"/>
  <c r="D21" i="47" s="1"/>
  <c r="D22" i="47" s="1"/>
  <c r="D23" i="47" s="1"/>
  <c r="F10" i="47"/>
  <c r="B10" i="47"/>
  <c r="M52" i="11"/>
  <c r="C48" i="11"/>
  <c r="K45" i="6"/>
  <c r="E45" i="6" s="1"/>
  <c r="K42" i="6"/>
  <c r="E42" i="6" s="1"/>
  <c r="G42" i="41"/>
  <c r="F42" i="41"/>
  <c r="E42" i="41"/>
  <c r="D42" i="41"/>
  <c r="C42" i="41"/>
  <c r="F23" i="41"/>
  <c r="L251" i="2" s="1"/>
  <c r="E23" i="41"/>
  <c r="L250" i="2" s="1"/>
  <c r="D23" i="41"/>
  <c r="L249" i="2" s="1"/>
  <c r="C23" i="41"/>
  <c r="L248" i="2" s="1"/>
  <c r="F62" i="35"/>
  <c r="E62" i="35"/>
  <c r="L227" i="2" s="1"/>
  <c r="D62" i="35"/>
  <c r="C62" i="35"/>
  <c r="L228" i="2" s="1"/>
  <c r="K42" i="35"/>
  <c r="G86" i="2" s="1"/>
  <c r="J42" i="35"/>
  <c r="G85" i="2" s="1"/>
  <c r="I42" i="35"/>
  <c r="G84" i="2" s="1"/>
  <c r="H42" i="35"/>
  <c r="G83" i="2" s="1"/>
  <c r="L83" i="2" s="1"/>
  <c r="G42" i="35"/>
  <c r="G82" i="2" s="1"/>
  <c r="L82" i="2" s="1"/>
  <c r="F42" i="35"/>
  <c r="G81" i="2" s="1"/>
  <c r="E42" i="35"/>
  <c r="G80" i="2" s="1"/>
  <c r="D42" i="35"/>
  <c r="G79" i="2" s="1"/>
  <c r="C42" i="35"/>
  <c r="G78" i="2" s="1"/>
  <c r="K23" i="35"/>
  <c r="G74" i="2" s="1"/>
  <c r="J23" i="35"/>
  <c r="G73" i="2" s="1"/>
  <c r="I23" i="35"/>
  <c r="G72" i="2" s="1"/>
  <c r="H23" i="35"/>
  <c r="G71" i="2" s="1"/>
  <c r="G23" i="35"/>
  <c r="G70" i="2" s="1"/>
  <c r="L70" i="2" s="1"/>
  <c r="F23" i="35"/>
  <c r="G69" i="2" s="1"/>
  <c r="E23" i="35"/>
  <c r="G68" i="2" s="1"/>
  <c r="L226" i="2" s="1"/>
  <c r="C23" i="35"/>
  <c r="G66" i="2" s="1"/>
  <c r="L66" i="2" s="1"/>
  <c r="F17" i="48"/>
  <c r="B14" i="48"/>
  <c r="A6" i="48"/>
  <c r="K45" i="48"/>
  <c r="K41" i="48"/>
  <c r="K37" i="48"/>
  <c r="E28" i="48"/>
  <c r="A23" i="48"/>
  <c r="A24" i="48" s="1"/>
  <c r="A25" i="48" s="1"/>
  <c r="A26" i="48" s="1"/>
  <c r="A27" i="48" s="1"/>
  <c r="B28" i="48" s="1"/>
  <c r="E20" i="48"/>
  <c r="A4" i="48"/>
  <c r="C63" i="41"/>
  <c r="B48" i="41"/>
  <c r="I29" i="30"/>
  <c r="I32" i="30"/>
  <c r="A6" i="11"/>
  <c r="A4" i="41"/>
  <c r="A6" i="13"/>
  <c r="A6" i="20"/>
  <c r="A6" i="10"/>
  <c r="A6" i="9"/>
  <c r="A6" i="8"/>
  <c r="B36" i="8" s="1"/>
  <c r="A6" i="7"/>
  <c r="B26" i="7" s="1"/>
  <c r="A6" i="6"/>
  <c r="B1" i="39"/>
  <c r="B1" i="38"/>
  <c r="A6" i="5"/>
  <c r="A4" i="35"/>
  <c r="B3" i="39"/>
  <c r="Q10" i="39"/>
  <c r="Q10" i="38"/>
  <c r="M10" i="39"/>
  <c r="M10" i="38"/>
  <c r="F13" i="39"/>
  <c r="E13" i="39"/>
  <c r="E13" i="38"/>
  <c r="D13" i="39"/>
  <c r="D13" i="38"/>
  <c r="C13" i="39"/>
  <c r="C13" i="38"/>
  <c r="M77" i="39"/>
  <c r="D43" i="5"/>
  <c r="D42" i="5"/>
  <c r="D27" i="5"/>
  <c r="D19" i="5"/>
  <c r="F87" i="35"/>
  <c r="F85" i="35"/>
  <c r="S116" i="38"/>
  <c r="S122" i="38" s="1"/>
  <c r="R116" i="38"/>
  <c r="R122" i="38" s="1"/>
  <c r="Q116" i="38"/>
  <c r="Q122" i="38" s="1"/>
  <c r="S60" i="38"/>
  <c r="R60" i="38"/>
  <c r="Q60" i="38"/>
  <c r="F13" i="38"/>
  <c r="B3" i="38"/>
  <c r="A61" i="38"/>
  <c r="D26" i="5" s="1"/>
  <c r="A119" i="38"/>
  <c r="A122" i="38" s="1"/>
  <c r="D35" i="5" s="1"/>
  <c r="A18" i="39"/>
  <c r="A19" i="39" s="1"/>
  <c r="A20" i="39" s="1"/>
  <c r="A21" i="39" s="1"/>
  <c r="A22" i="39" s="1"/>
  <c r="A23" i="39" s="1"/>
  <c r="A24" i="39" s="1"/>
  <c r="A70" i="38"/>
  <c r="I42" i="5"/>
  <c r="J64" i="39"/>
  <c r="I64" i="39"/>
  <c r="I60" i="39"/>
  <c r="K60" i="39"/>
  <c r="J60" i="39"/>
  <c r="D60" i="39"/>
  <c r="C60" i="39"/>
  <c r="D59" i="39"/>
  <c r="J59" i="39"/>
  <c r="K59" i="39"/>
  <c r="D58" i="39"/>
  <c r="K58" i="39"/>
  <c r="C58" i="39"/>
  <c r="I58" i="39"/>
  <c r="D57" i="39"/>
  <c r="C57" i="39"/>
  <c r="I57" i="39"/>
  <c r="K56" i="39"/>
  <c r="I56" i="39"/>
  <c r="J56" i="39"/>
  <c r="D56" i="39"/>
  <c r="K55" i="39"/>
  <c r="D55" i="39"/>
  <c r="C55" i="39"/>
  <c r="I55" i="39"/>
  <c r="D54" i="39"/>
  <c r="J54" i="39"/>
  <c r="I54" i="39"/>
  <c r="C54" i="39"/>
  <c r="I52" i="39"/>
  <c r="I78" i="39" s="1"/>
  <c r="C52" i="39"/>
  <c r="C78" i="39" s="1"/>
  <c r="J52" i="39"/>
  <c r="J78" i="39" s="1"/>
  <c r="J51" i="39"/>
  <c r="K51" i="39"/>
  <c r="K50" i="39"/>
  <c r="J50" i="39"/>
  <c r="I50" i="39"/>
  <c r="D49" i="39"/>
  <c r="K49" i="39"/>
  <c r="J49" i="39"/>
  <c r="I49" i="39"/>
  <c r="I48" i="39"/>
  <c r="K48" i="39"/>
  <c r="J48" i="39"/>
  <c r="D48" i="39"/>
  <c r="C48" i="39"/>
  <c r="J47" i="39"/>
  <c r="D47" i="39"/>
  <c r="K47" i="39"/>
  <c r="K46" i="39"/>
  <c r="D46" i="39"/>
  <c r="C46" i="39"/>
  <c r="I46" i="39"/>
  <c r="D45" i="39"/>
  <c r="J45" i="39"/>
  <c r="I45" i="39"/>
  <c r="C45" i="39"/>
  <c r="I44" i="39"/>
  <c r="C44" i="39"/>
  <c r="J44" i="39"/>
  <c r="J43" i="39"/>
  <c r="K43" i="39"/>
  <c r="K42" i="39"/>
  <c r="J42" i="39"/>
  <c r="I42" i="39"/>
  <c r="D41" i="39"/>
  <c r="K41" i="39"/>
  <c r="J41" i="39"/>
  <c r="I41" i="39"/>
  <c r="I40" i="39"/>
  <c r="K40" i="39"/>
  <c r="J40" i="39"/>
  <c r="D40" i="39"/>
  <c r="C40" i="39"/>
  <c r="J39" i="39"/>
  <c r="D39" i="39"/>
  <c r="K39" i="39"/>
  <c r="K38" i="39"/>
  <c r="D38" i="39"/>
  <c r="C38" i="39"/>
  <c r="I38" i="39"/>
  <c r="D36" i="39"/>
  <c r="J36" i="39"/>
  <c r="I36" i="39"/>
  <c r="C36" i="39"/>
  <c r="I35" i="39"/>
  <c r="C35" i="39"/>
  <c r="J35" i="39"/>
  <c r="J34" i="39"/>
  <c r="K34" i="39"/>
  <c r="K33" i="39"/>
  <c r="J33" i="39"/>
  <c r="I33" i="39"/>
  <c r="D32" i="39"/>
  <c r="K32" i="39"/>
  <c r="J32" i="39"/>
  <c r="I32" i="39"/>
  <c r="I31" i="39"/>
  <c r="K31" i="39"/>
  <c r="J31" i="39"/>
  <c r="D31" i="39"/>
  <c r="C31" i="39"/>
  <c r="J30" i="39"/>
  <c r="D30" i="39"/>
  <c r="K30" i="39"/>
  <c r="K29" i="39"/>
  <c r="D29" i="39"/>
  <c r="C29" i="39"/>
  <c r="I29" i="39"/>
  <c r="D27" i="39"/>
  <c r="J27" i="39"/>
  <c r="I27" i="39"/>
  <c r="I26" i="39"/>
  <c r="J26" i="39"/>
  <c r="K26" i="39"/>
  <c r="C26" i="39"/>
  <c r="J25" i="39"/>
  <c r="D25" i="39"/>
  <c r="K25" i="39"/>
  <c r="C25" i="39"/>
  <c r="D24" i="39"/>
  <c r="C24" i="39"/>
  <c r="K24" i="39"/>
  <c r="I24" i="39"/>
  <c r="C23" i="39"/>
  <c r="I23" i="39"/>
  <c r="K22" i="39"/>
  <c r="C22" i="39"/>
  <c r="I22" i="39"/>
  <c r="D22" i="39"/>
  <c r="J21" i="39"/>
  <c r="K21" i="39"/>
  <c r="I21" i="39"/>
  <c r="D21" i="39"/>
  <c r="D20" i="39"/>
  <c r="C20" i="39"/>
  <c r="K20" i="39"/>
  <c r="D19" i="39"/>
  <c r="K19" i="39"/>
  <c r="J19" i="39"/>
  <c r="I19" i="39"/>
  <c r="D18" i="39"/>
  <c r="K18" i="39"/>
  <c r="C18" i="39"/>
  <c r="I18" i="39"/>
  <c r="J17" i="39"/>
  <c r="S136" i="38"/>
  <c r="R136" i="38"/>
  <c r="E52" i="5" s="1"/>
  <c r="Q136" i="38"/>
  <c r="O136" i="38"/>
  <c r="N136" i="38"/>
  <c r="G52" i="5" s="1"/>
  <c r="M136" i="38"/>
  <c r="F136" i="38"/>
  <c r="E136" i="38"/>
  <c r="K134" i="38"/>
  <c r="J134" i="38"/>
  <c r="I134" i="38"/>
  <c r="D134" i="38"/>
  <c r="C134" i="38"/>
  <c r="K133" i="38"/>
  <c r="J133" i="38"/>
  <c r="I133" i="38"/>
  <c r="D133" i="38"/>
  <c r="C133" i="38"/>
  <c r="G120" i="38"/>
  <c r="K119" i="38"/>
  <c r="J119" i="38"/>
  <c r="I119" i="38"/>
  <c r="D119" i="38"/>
  <c r="C119" i="38"/>
  <c r="D113" i="38"/>
  <c r="C113" i="38"/>
  <c r="I100" i="38"/>
  <c r="D99" i="38"/>
  <c r="I99" i="38"/>
  <c r="J98" i="38"/>
  <c r="K98" i="38"/>
  <c r="D98" i="38"/>
  <c r="K97" i="38"/>
  <c r="D97" i="38"/>
  <c r="D96" i="38"/>
  <c r="J96" i="38"/>
  <c r="I96" i="38"/>
  <c r="D95" i="38"/>
  <c r="K95" i="38"/>
  <c r="J95" i="38"/>
  <c r="I95" i="38"/>
  <c r="D94" i="38"/>
  <c r="J94" i="38"/>
  <c r="K93" i="38"/>
  <c r="D93" i="38"/>
  <c r="D92" i="38"/>
  <c r="I92" i="38"/>
  <c r="K91" i="38"/>
  <c r="J91" i="38"/>
  <c r="C91" i="38"/>
  <c r="D90" i="38"/>
  <c r="C90" i="38"/>
  <c r="K90" i="38"/>
  <c r="J90" i="38"/>
  <c r="K89" i="38"/>
  <c r="J89" i="38"/>
  <c r="I89" i="38"/>
  <c r="D88" i="38"/>
  <c r="I88" i="38"/>
  <c r="I87" i="38"/>
  <c r="J87" i="38"/>
  <c r="K87" i="38"/>
  <c r="C87" i="38"/>
  <c r="J86" i="38"/>
  <c r="I86" i="38"/>
  <c r="K86" i="38"/>
  <c r="D86" i="38"/>
  <c r="C86" i="38"/>
  <c r="D85" i="38"/>
  <c r="C85" i="38"/>
  <c r="K85" i="38"/>
  <c r="I85" i="38"/>
  <c r="K84" i="38"/>
  <c r="I84" i="38"/>
  <c r="K83" i="38"/>
  <c r="I83" i="38"/>
  <c r="D83" i="38"/>
  <c r="J82" i="38"/>
  <c r="K82" i="38"/>
  <c r="D81" i="38"/>
  <c r="D123" i="38" s="1"/>
  <c r="K81" i="38"/>
  <c r="K123" i="38" s="1"/>
  <c r="D80" i="38"/>
  <c r="J80" i="38"/>
  <c r="I80" i="38"/>
  <c r="C79" i="38"/>
  <c r="I79" i="38"/>
  <c r="D78" i="38"/>
  <c r="J78" i="38"/>
  <c r="K77" i="38"/>
  <c r="J77" i="38"/>
  <c r="D77" i="38"/>
  <c r="D76" i="38"/>
  <c r="I76" i="38"/>
  <c r="J76" i="38"/>
  <c r="C76" i="38"/>
  <c r="C75" i="38"/>
  <c r="K75" i="38"/>
  <c r="J75" i="38"/>
  <c r="D74" i="38"/>
  <c r="K74" i="38"/>
  <c r="J74" i="38"/>
  <c r="C74" i="38"/>
  <c r="J71" i="38"/>
  <c r="I71" i="38"/>
  <c r="C71" i="38"/>
  <c r="I70" i="38"/>
  <c r="J70" i="38"/>
  <c r="K70" i="38"/>
  <c r="D70" i="38"/>
  <c r="C70" i="38"/>
  <c r="J69" i="38"/>
  <c r="D69" i="38"/>
  <c r="K69" i="38"/>
  <c r="D68" i="38"/>
  <c r="C68" i="38"/>
  <c r="K68" i="38"/>
  <c r="I66" i="38"/>
  <c r="I65" i="38"/>
  <c r="F60" i="38"/>
  <c r="K51" i="38"/>
  <c r="J51" i="38"/>
  <c r="I51" i="38"/>
  <c r="C47" i="38"/>
  <c r="I47" i="38"/>
  <c r="J47" i="38"/>
  <c r="D47" i="38"/>
  <c r="D46" i="38"/>
  <c r="K46" i="38"/>
  <c r="D45" i="38"/>
  <c r="C45" i="38"/>
  <c r="D44" i="38"/>
  <c r="C44" i="38"/>
  <c r="I44" i="38"/>
  <c r="D43" i="38"/>
  <c r="K43" i="38"/>
  <c r="J43" i="38"/>
  <c r="C43" i="38"/>
  <c r="J42" i="38"/>
  <c r="K42" i="38"/>
  <c r="D42" i="38"/>
  <c r="K41" i="38"/>
  <c r="J41" i="38"/>
  <c r="I41" i="38"/>
  <c r="D40" i="38"/>
  <c r="K40" i="38"/>
  <c r="J40" i="38"/>
  <c r="I40" i="38"/>
  <c r="C39" i="38"/>
  <c r="I39" i="38"/>
  <c r="J39" i="38"/>
  <c r="D39" i="38"/>
  <c r="D38" i="38"/>
  <c r="K38" i="38"/>
  <c r="D37" i="38"/>
  <c r="I37" i="38"/>
  <c r="I36" i="38"/>
  <c r="K36" i="38"/>
  <c r="J36" i="38"/>
  <c r="D35" i="38"/>
  <c r="K35" i="38"/>
  <c r="J35" i="38"/>
  <c r="D33" i="38"/>
  <c r="D61" i="38" s="1"/>
  <c r="J33" i="38"/>
  <c r="J61" i="38" s="1"/>
  <c r="I33" i="38"/>
  <c r="I61" i="38" s="1"/>
  <c r="D32" i="38"/>
  <c r="J32" i="38"/>
  <c r="I32" i="38"/>
  <c r="D31" i="38"/>
  <c r="C31" i="38"/>
  <c r="K31" i="38"/>
  <c r="J31" i="38"/>
  <c r="D28" i="38"/>
  <c r="K28" i="38"/>
  <c r="I28" i="38"/>
  <c r="S23" i="38"/>
  <c r="R23" i="38"/>
  <c r="Q23" i="38"/>
  <c r="G21" i="38"/>
  <c r="E23" i="38"/>
  <c r="K17" i="38"/>
  <c r="K23" i="38" s="1"/>
  <c r="J17" i="38"/>
  <c r="J23" i="38" s="1"/>
  <c r="I17" i="38"/>
  <c r="I23" i="38" s="1"/>
  <c r="D17" i="38"/>
  <c r="D23" i="38" s="1"/>
  <c r="C17" i="38"/>
  <c r="C23" i="38" s="1"/>
  <c r="A24" i="38"/>
  <c r="D18" i="5" s="1"/>
  <c r="Q27" i="21"/>
  <c r="Q22" i="21"/>
  <c r="Q17" i="21"/>
  <c r="A2" i="41"/>
  <c r="A11" i="41"/>
  <c r="A12" i="41" s="1"/>
  <c r="A13" i="41" s="1"/>
  <c r="A14" i="41" s="1"/>
  <c r="A15" i="41" s="1"/>
  <c r="A16" i="41" s="1"/>
  <c r="A17" i="41" s="1"/>
  <c r="A18" i="41" s="1"/>
  <c r="A19" i="41" s="1"/>
  <c r="A20" i="41" s="1"/>
  <c r="A21" i="41" s="1"/>
  <c r="A22" i="41" s="1"/>
  <c r="A23" i="41" s="1"/>
  <c r="A29" i="41" s="1"/>
  <c r="A30" i="41" s="1"/>
  <c r="A31" i="41" s="1"/>
  <c r="A32" i="41" s="1"/>
  <c r="A33" i="41" s="1"/>
  <c r="A34" i="41" s="1"/>
  <c r="A35" i="41" s="1"/>
  <c r="A36" i="41" s="1"/>
  <c r="A37" i="41" s="1"/>
  <c r="A38" i="41" s="1"/>
  <c r="A39" i="41" s="1"/>
  <c r="A40" i="41" s="1"/>
  <c r="A41" i="41" s="1"/>
  <c r="A42" i="41" s="1"/>
  <c r="G12" i="41"/>
  <c r="G13" i="41"/>
  <c r="G16" i="41"/>
  <c r="G17" i="41"/>
  <c r="G18" i="41"/>
  <c r="G21" i="41"/>
  <c r="G22" i="41"/>
  <c r="H29" i="41"/>
  <c r="H31" i="41"/>
  <c r="H33" i="41"/>
  <c r="H35" i="41"/>
  <c r="H37" i="41"/>
  <c r="H39" i="41"/>
  <c r="H41" i="41"/>
  <c r="E64" i="41"/>
  <c r="E65" i="41"/>
  <c r="E66" i="41"/>
  <c r="E67" i="41"/>
  <c r="E68" i="41"/>
  <c r="E69" i="41"/>
  <c r="E70" i="41"/>
  <c r="E71" i="41"/>
  <c r="E72" i="41"/>
  <c r="F73" i="41"/>
  <c r="C74" i="41"/>
  <c r="E50" i="41" s="1"/>
  <c r="D74" i="41"/>
  <c r="B85" i="41"/>
  <c r="B86" i="41"/>
  <c r="B87" i="41"/>
  <c r="C88" i="41"/>
  <c r="C89" i="41" s="1"/>
  <c r="D88" i="41"/>
  <c r="D89" i="41" s="1"/>
  <c r="B91" i="41"/>
  <c r="B92" i="41"/>
  <c r="B93" i="41"/>
  <c r="C94" i="41"/>
  <c r="C95" i="41" s="1"/>
  <c r="D94" i="41"/>
  <c r="B97" i="41"/>
  <c r="B98" i="41"/>
  <c r="B99" i="41"/>
  <c r="C100" i="41"/>
  <c r="C101" i="41" s="1"/>
  <c r="D100" i="41"/>
  <c r="D101" i="41" s="1"/>
  <c r="G20" i="41"/>
  <c r="G10" i="41"/>
  <c r="H40" i="41"/>
  <c r="H38" i="41"/>
  <c r="H36" i="41"/>
  <c r="H34" i="41"/>
  <c r="H32" i="41"/>
  <c r="H30" i="41"/>
  <c r="G14" i="41"/>
  <c r="G19" i="41"/>
  <c r="G15" i="41"/>
  <c r="G11" i="41"/>
  <c r="E110" i="2"/>
  <c r="E88" i="35"/>
  <c r="D88" i="35"/>
  <c r="E67" i="35"/>
  <c r="F67" i="35"/>
  <c r="D67" i="35"/>
  <c r="A69" i="35"/>
  <c r="A71" i="35" s="1"/>
  <c r="A75" i="35" s="1"/>
  <c r="A76" i="35" s="1"/>
  <c r="A77" i="35" s="1"/>
  <c r="A78" i="35" s="1"/>
  <c r="A79" i="35" s="1"/>
  <c r="A80" i="35" s="1"/>
  <c r="E80" i="35"/>
  <c r="D80" i="35"/>
  <c r="F79" i="35"/>
  <c r="F78" i="35"/>
  <c r="F77" i="35"/>
  <c r="F76" i="35"/>
  <c r="F75" i="35"/>
  <c r="F71" i="35"/>
  <c r="L106" i="2" s="1"/>
  <c r="F69" i="35"/>
  <c r="G106" i="2" s="1"/>
  <c r="A11" i="35"/>
  <c r="A12" i="35" s="1"/>
  <c r="A13" i="35" s="1"/>
  <c r="A14" i="35" s="1"/>
  <c r="A15" i="35" s="1"/>
  <c r="A16" i="35" s="1"/>
  <c r="A17" i="35" s="1"/>
  <c r="A18" i="35" s="1"/>
  <c r="A19" i="35" s="1"/>
  <c r="A20" i="35" s="1"/>
  <c r="A21" i="35" s="1"/>
  <c r="A22" i="35" s="1"/>
  <c r="A23" i="35" s="1"/>
  <c r="E70" i="2" s="1"/>
  <c r="A2" i="35"/>
  <c r="I53" i="30"/>
  <c r="I52" i="30"/>
  <c r="I49" i="30"/>
  <c r="I48" i="30"/>
  <c r="I47" i="30"/>
  <c r="I46" i="30"/>
  <c r="I42" i="30"/>
  <c r="I41" i="30"/>
  <c r="I40" i="30"/>
  <c r="I39" i="30"/>
  <c r="I38" i="30"/>
  <c r="I37" i="30"/>
  <c r="I36" i="30"/>
  <c r="I35" i="30"/>
  <c r="B21" i="7"/>
  <c r="K27" i="8"/>
  <c r="K31" i="8" s="1"/>
  <c r="G15" i="2" s="1"/>
  <c r="L15" i="2" s="1"/>
  <c r="I27" i="8"/>
  <c r="I31" i="8" s="1"/>
  <c r="B11" i="7"/>
  <c r="E63" i="30"/>
  <c r="E25" i="11" s="1"/>
  <c r="I25" i="11" s="1"/>
  <c r="D33" i="9"/>
  <c r="G146" i="2" s="1"/>
  <c r="O83" i="13"/>
  <c r="P83" i="13"/>
  <c r="J21" i="8"/>
  <c r="J19" i="8"/>
  <c r="J17" i="8"/>
  <c r="J15" i="8"/>
  <c r="J13" i="8"/>
  <c r="L89" i="13"/>
  <c r="L97" i="13"/>
  <c r="C102" i="13"/>
  <c r="C103" i="13" s="1"/>
  <c r="C104" i="13" s="1"/>
  <c r="C105" i="13" s="1"/>
  <c r="C106" i="13" s="1"/>
  <c r="C107" i="13" s="1"/>
  <c r="C108" i="13" s="1"/>
  <c r="C109" i="13" s="1"/>
  <c r="C110" i="13" s="1"/>
  <c r="C111" i="13" s="1"/>
  <c r="C112" i="13" s="1"/>
  <c r="C113" i="13" s="1"/>
  <c r="C114" i="13" s="1"/>
  <c r="C115" i="13" s="1"/>
  <c r="C116" i="13" s="1"/>
  <c r="C117" i="13" s="1"/>
  <c r="C118" i="13" s="1"/>
  <c r="C119" i="13" s="1"/>
  <c r="C120" i="13" s="1"/>
  <c r="C121" i="13" s="1"/>
  <c r="C122" i="13" s="1"/>
  <c r="C123" i="13" s="1"/>
  <c r="C124" i="13" s="1"/>
  <c r="C125" i="13" s="1"/>
  <c r="C126" i="13" s="1"/>
  <c r="C127" i="13" s="1"/>
  <c r="C128" i="13" s="1"/>
  <c r="C129" i="13" s="1"/>
  <c r="C130" i="13" s="1"/>
  <c r="C131" i="13" s="1"/>
  <c r="D102" i="13"/>
  <c r="M112" i="13"/>
  <c r="O112" i="13"/>
  <c r="M113" i="13"/>
  <c r="O113" i="13"/>
  <c r="M114" i="13"/>
  <c r="O114" i="13"/>
  <c r="M115" i="13"/>
  <c r="O115" i="13"/>
  <c r="M116" i="13"/>
  <c r="O116" i="13"/>
  <c r="M117" i="13"/>
  <c r="O117" i="13"/>
  <c r="M118" i="13"/>
  <c r="O118" i="13"/>
  <c r="M119" i="13"/>
  <c r="O119" i="13"/>
  <c r="M120" i="13"/>
  <c r="O120" i="13"/>
  <c r="M121" i="13"/>
  <c r="O121" i="13"/>
  <c r="M122" i="13"/>
  <c r="O122" i="13"/>
  <c r="M123" i="13"/>
  <c r="O123" i="13"/>
  <c r="M124" i="13"/>
  <c r="O124" i="13"/>
  <c r="M125" i="13"/>
  <c r="O125" i="13"/>
  <c r="M126" i="13"/>
  <c r="O126" i="13"/>
  <c r="M127" i="13"/>
  <c r="O127" i="13"/>
  <c r="M128" i="13"/>
  <c r="O128" i="13"/>
  <c r="M129" i="13"/>
  <c r="O129" i="13"/>
  <c r="M130" i="13"/>
  <c r="O130" i="13"/>
  <c r="M131" i="13"/>
  <c r="O131" i="13"/>
  <c r="M132" i="13"/>
  <c r="O132" i="13"/>
  <c r="M133" i="13"/>
  <c r="O133" i="13"/>
  <c r="M134" i="13"/>
  <c r="O134" i="13"/>
  <c r="M135" i="13"/>
  <c r="O135" i="13"/>
  <c r="M136" i="13"/>
  <c r="O136" i="13"/>
  <c r="M137" i="13"/>
  <c r="O137" i="13"/>
  <c r="M138" i="13"/>
  <c r="O138" i="13"/>
  <c r="M139" i="13"/>
  <c r="O139" i="13"/>
  <c r="M140" i="13"/>
  <c r="O140" i="13"/>
  <c r="M141" i="13"/>
  <c r="O141" i="13"/>
  <c r="M142" i="13"/>
  <c r="O142" i="13"/>
  <c r="M143" i="13"/>
  <c r="O143" i="13"/>
  <c r="M144" i="13"/>
  <c r="O144" i="13"/>
  <c r="M145" i="13"/>
  <c r="O145" i="13"/>
  <c r="M146" i="13"/>
  <c r="O146" i="13"/>
  <c r="M147" i="13"/>
  <c r="O147" i="13"/>
  <c r="M148" i="13"/>
  <c r="O148" i="13"/>
  <c r="M149" i="13"/>
  <c r="O149" i="13"/>
  <c r="M150" i="13"/>
  <c r="O150" i="13"/>
  <c r="M151" i="13"/>
  <c r="O151" i="13"/>
  <c r="M152" i="13"/>
  <c r="O152" i="13"/>
  <c r="M153" i="13"/>
  <c r="O153" i="13"/>
  <c r="M154" i="13"/>
  <c r="O154" i="13"/>
  <c r="M155" i="13"/>
  <c r="O155" i="13"/>
  <c r="M156" i="13"/>
  <c r="O156" i="13"/>
  <c r="M157" i="13"/>
  <c r="O157" i="13"/>
  <c r="M158" i="13"/>
  <c r="O158" i="13"/>
  <c r="M159" i="13"/>
  <c r="O159" i="13"/>
  <c r="M160" i="13"/>
  <c r="O160" i="13"/>
  <c r="M161" i="13"/>
  <c r="O161" i="13"/>
  <c r="A6" i="30"/>
  <c r="E107" i="30"/>
  <c r="E38" i="11" s="1"/>
  <c r="M38" i="11" s="1"/>
  <c r="E100" i="30"/>
  <c r="E36" i="11" s="1"/>
  <c r="K36" i="11" s="1"/>
  <c r="E83" i="30"/>
  <c r="E34" i="11" s="1"/>
  <c r="K34" i="11" s="1"/>
  <c r="E32" i="11"/>
  <c r="M32" i="11" s="1"/>
  <c r="E65" i="30"/>
  <c r="E26" i="11" s="1"/>
  <c r="I26" i="11" s="1"/>
  <c r="E50" i="30"/>
  <c r="E21" i="11" s="1"/>
  <c r="G21" i="11" s="1"/>
  <c r="D62" i="9"/>
  <c r="D21" i="9"/>
  <c r="G148" i="2" s="1"/>
  <c r="K43" i="6"/>
  <c r="E43" i="6" s="1"/>
  <c r="D295" i="2"/>
  <c r="L26" i="20"/>
  <c r="A4" i="21"/>
  <c r="A4" i="30"/>
  <c r="A4" i="11"/>
  <c r="A4" i="10"/>
  <c r="A4" i="9"/>
  <c r="A4" i="8"/>
  <c r="A4" i="7"/>
  <c r="A4" i="6"/>
  <c r="A4" i="5"/>
  <c r="F7" i="2"/>
  <c r="F56" i="2" s="1"/>
  <c r="F130" i="2" s="1"/>
  <c r="F218" i="2" s="1"/>
  <c r="F264" i="2" s="1"/>
  <c r="F16" i="13"/>
  <c r="F18" i="13" s="1"/>
  <c r="E23" i="13" s="1"/>
  <c r="F16" i="20"/>
  <c r="F18" i="20" s="1"/>
  <c r="E23" i="20" s="1"/>
  <c r="L18" i="2"/>
  <c r="B13" i="2"/>
  <c r="C47" i="13" s="1"/>
  <c r="D51" i="6"/>
  <c r="D29" i="6" s="1"/>
  <c r="O8" i="20"/>
  <c r="E38" i="9"/>
  <c r="E37" i="9"/>
  <c r="E44" i="30"/>
  <c r="E71" i="30"/>
  <c r="E29" i="11" s="1"/>
  <c r="M29" i="11" s="1"/>
  <c r="L234" i="2"/>
  <c r="L236" i="2"/>
  <c r="L237" i="2"/>
  <c r="L238" i="2"/>
  <c r="F239" i="2"/>
  <c r="G239" i="2"/>
  <c r="K39" i="6"/>
  <c r="E39" i="6" s="1"/>
  <c r="K41" i="6"/>
  <c r="K44" i="6"/>
  <c r="E44" i="6" s="1"/>
  <c r="C21" i="7"/>
  <c r="C23" i="7" s="1"/>
  <c r="G123" i="2" s="1"/>
  <c r="L123" i="2" s="1"/>
  <c r="E61" i="30"/>
  <c r="E24" i="11" s="1"/>
  <c r="I24" i="11" s="1"/>
  <c r="E33" i="30"/>
  <c r="E103" i="30"/>
  <c r="E37" i="11" s="1"/>
  <c r="M37" i="11" s="1"/>
  <c r="E39" i="11"/>
  <c r="M39" i="11" s="1"/>
  <c r="E33" i="11"/>
  <c r="K33" i="11" s="1"/>
  <c r="E93" i="30"/>
  <c r="E35" i="11" s="1"/>
  <c r="K35" i="11" s="1"/>
  <c r="F62" i="9"/>
  <c r="G162" i="2" s="1"/>
  <c r="F71" i="9"/>
  <c r="G163" i="2" s="1"/>
  <c r="L163" i="2" s="1"/>
  <c r="O17" i="21"/>
  <c r="O22" i="21"/>
  <c r="O27" i="21"/>
  <c r="I17" i="6"/>
  <c r="G114" i="2" s="1"/>
  <c r="I19" i="6"/>
  <c r="G115" i="2" s="1"/>
  <c r="I21" i="6"/>
  <c r="G116" i="2" s="1"/>
  <c r="D71" i="9"/>
  <c r="A24" i="9"/>
  <c r="A25" i="9" s="1"/>
  <c r="A26" i="9" s="1"/>
  <c r="A27" i="9" s="1"/>
  <c r="A28" i="9" s="1"/>
  <c r="A29" i="9" s="1"/>
  <c r="A30" i="9" s="1"/>
  <c r="A31" i="9" s="1"/>
  <c r="A32" i="9" s="1"/>
  <c r="A33" i="9" s="1"/>
  <c r="A15" i="7"/>
  <c r="A17" i="7" s="1"/>
  <c r="A18" i="7" s="1"/>
  <c r="A19" i="7" s="1"/>
  <c r="A21" i="7" s="1"/>
  <c r="A23" i="7" s="1"/>
  <c r="A17" i="6"/>
  <c r="A19" i="6" s="1"/>
  <c r="A21" i="6" s="1"/>
  <c r="A27" i="6" s="1"/>
  <c r="A29" i="6" s="1"/>
  <c r="A30" i="6" s="1"/>
  <c r="A31" i="6" s="1"/>
  <c r="A37" i="6" s="1"/>
  <c r="A39" i="6" s="1"/>
  <c r="A40" i="6" s="1"/>
  <c r="A41" i="6" s="1"/>
  <c r="A42" i="6" s="1"/>
  <c r="A43" i="6" s="1"/>
  <c r="A44" i="6" s="1"/>
  <c r="A45" i="6" s="1"/>
  <c r="A46" i="6" s="1"/>
  <c r="A47" i="6" s="1"/>
  <c r="A48" i="6" s="1"/>
  <c r="A57" i="6" s="1"/>
  <c r="A59" i="6" s="1"/>
  <c r="A60" i="6" s="1"/>
  <c r="A61" i="6" s="1"/>
  <c r="A62" i="6" s="1"/>
  <c r="A63" i="6" s="1"/>
  <c r="A64" i="6" s="1"/>
  <c r="A65" i="6" s="1"/>
  <c r="A66" i="6" s="1"/>
  <c r="A67" i="6" s="1"/>
  <c r="A68" i="6" s="1"/>
  <c r="A69" i="6" s="1"/>
  <c r="A70" i="6" s="1"/>
  <c r="K48" i="6"/>
  <c r="E48" i="6" s="1"/>
  <c r="A15" i="30"/>
  <c r="A25" i="30" s="1"/>
  <c r="A27" i="30" s="1"/>
  <c r="A33" i="30" s="1"/>
  <c r="A44" i="30" s="1"/>
  <c r="A51" i="30" s="1"/>
  <c r="A60" i="30" s="1"/>
  <c r="A61" i="30" s="1"/>
  <c r="A63" i="30" s="1"/>
  <c r="A65" i="30" s="1"/>
  <c r="A71" i="30" s="1"/>
  <c r="A72" i="30" s="1"/>
  <c r="A74" i="30" s="1"/>
  <c r="A75" i="30" s="1"/>
  <c r="A79" i="30" s="1"/>
  <c r="A83" i="30" s="1"/>
  <c r="A93" i="30" s="1"/>
  <c r="A100" i="30" s="1"/>
  <c r="A103" i="30" s="1"/>
  <c r="A107" i="30" s="1"/>
  <c r="A110" i="30" s="1"/>
  <c r="A115" i="30" s="1"/>
  <c r="G207" i="2"/>
  <c r="A17" i="11"/>
  <c r="A19" i="11" s="1"/>
  <c r="A20" i="11" s="1"/>
  <c r="A21" i="11" s="1"/>
  <c r="A23" i="11" s="1"/>
  <c r="A24" i="11" s="1"/>
  <c r="A25" i="11" s="1"/>
  <c r="A26" i="11" s="1"/>
  <c r="A28" i="11" s="1"/>
  <c r="A29" i="11" s="1"/>
  <c r="A31" i="11" s="1"/>
  <c r="A32" i="11" s="1"/>
  <c r="A33" i="11" s="1"/>
  <c r="A34" i="11" s="1"/>
  <c r="A35" i="11" s="1"/>
  <c r="A36" i="11" s="1"/>
  <c r="A37" i="11" s="1"/>
  <c r="A38" i="11" s="1"/>
  <c r="A39" i="11" s="1"/>
  <c r="A40" i="11" s="1"/>
  <c r="A41" i="11" s="1"/>
  <c r="E183" i="2" s="1"/>
  <c r="D30" i="6"/>
  <c r="I50" i="5"/>
  <c r="J29" i="8"/>
  <c r="A4" i="13"/>
  <c r="A4" i="20"/>
  <c r="C60" i="13"/>
  <c r="L173" i="2"/>
  <c r="G160" i="2"/>
  <c r="K33" i="21"/>
  <c r="A22" i="21"/>
  <c r="A27" i="21" s="1"/>
  <c r="A33" i="21" s="1"/>
  <c r="D209" i="2" s="1"/>
  <c r="L168" i="2"/>
  <c r="A6" i="21"/>
  <c r="D12" i="9"/>
  <c r="C30" i="6"/>
  <c r="I12" i="6"/>
  <c r="I10" i="5"/>
  <c r="C9" i="7"/>
  <c r="M23" i="13"/>
  <c r="M20" i="13"/>
  <c r="N8" i="20"/>
  <c r="C11" i="20"/>
  <c r="C14" i="20"/>
  <c r="C18" i="20"/>
  <c r="C26" i="20"/>
  <c r="C32" i="20"/>
  <c r="C42" i="20"/>
  <c r="C43" i="20"/>
  <c r="C53" i="20"/>
  <c r="C55" i="20"/>
  <c r="C58" i="20"/>
  <c r="C60" i="20"/>
  <c r="C62" i="20"/>
  <c r="C65" i="20"/>
  <c r="C66" i="20"/>
  <c r="C68" i="20"/>
  <c r="C69" i="20"/>
  <c r="C71" i="20"/>
  <c r="B6" i="14"/>
  <c r="H234" i="2"/>
  <c r="H235" i="2"/>
  <c r="D56" i="6"/>
  <c r="B54" i="6" s="1"/>
  <c r="G12" i="6"/>
  <c r="G10" i="5"/>
  <c r="B4" i="14"/>
  <c r="O8" i="13"/>
  <c r="P8" i="13"/>
  <c r="C11" i="13"/>
  <c r="C14" i="13"/>
  <c r="C18" i="13"/>
  <c r="C26" i="13"/>
  <c r="C32" i="13"/>
  <c r="C42" i="13"/>
  <c r="C43" i="13"/>
  <c r="C53" i="13"/>
  <c r="C55" i="13"/>
  <c r="C58" i="13"/>
  <c r="C62" i="13"/>
  <c r="C65" i="13"/>
  <c r="C66" i="13"/>
  <c r="C68" i="13"/>
  <c r="C69" i="13"/>
  <c r="C71" i="13"/>
  <c r="A4" i="12"/>
  <c r="A6" i="12"/>
  <c r="A3" i="6"/>
  <c r="A3" i="7" s="1"/>
  <c r="A15" i="8"/>
  <c r="A17" i="8" s="1"/>
  <c r="A19" i="8" s="1"/>
  <c r="A21" i="8" s="1"/>
  <c r="A27" i="8" s="1"/>
  <c r="A29" i="8" s="1"/>
  <c r="A31" i="8" s="1"/>
  <c r="A39" i="8" s="1"/>
  <c r="E12" i="6"/>
  <c r="C29" i="6"/>
  <c r="D36" i="6"/>
  <c r="B34" i="6" s="1"/>
  <c r="E10" i="5"/>
  <c r="A17" i="5"/>
  <c r="A18" i="5" s="1"/>
  <c r="F54" i="2"/>
  <c r="F128" i="2" s="1"/>
  <c r="F216" i="2" s="1"/>
  <c r="F262" i="2" s="1"/>
  <c r="F55" i="2"/>
  <c r="F129" i="2" s="1"/>
  <c r="F217" i="2" s="1"/>
  <c r="F263" i="2" s="1"/>
  <c r="F58" i="2"/>
  <c r="F132" i="2" s="1"/>
  <c r="F220" i="2" s="1"/>
  <c r="F266" i="2" s="1"/>
  <c r="B64" i="2"/>
  <c r="B138" i="2" s="1"/>
  <c r="B65" i="2"/>
  <c r="B139" i="2" s="1"/>
  <c r="D78" i="2"/>
  <c r="D90" i="2" s="1"/>
  <c r="D80" i="2"/>
  <c r="D91" i="2" s="1"/>
  <c r="D82" i="2"/>
  <c r="D92" i="2" s="1"/>
  <c r="D84" i="2"/>
  <c r="D93" i="2" s="1"/>
  <c r="D86" i="2"/>
  <c r="D94" i="2" s="1"/>
  <c r="E136" i="2"/>
  <c r="L136" i="2"/>
  <c r="E137" i="2"/>
  <c r="G137" i="2"/>
  <c r="I137" i="2"/>
  <c r="L137" i="2"/>
  <c r="G145" i="2"/>
  <c r="D174" i="2"/>
  <c r="H237" i="2"/>
  <c r="H238" i="2"/>
  <c r="C34" i="39"/>
  <c r="I34" i="39"/>
  <c r="C43" i="39"/>
  <c r="I43" i="39"/>
  <c r="K44" i="39"/>
  <c r="C27" i="39"/>
  <c r="C51" i="39"/>
  <c r="I51" i="39"/>
  <c r="O77" i="39"/>
  <c r="J18" i="39"/>
  <c r="K23" i="39"/>
  <c r="I25" i="39"/>
  <c r="D26" i="39"/>
  <c r="D34" i="39"/>
  <c r="K35" i="39"/>
  <c r="D43" i="39"/>
  <c r="D51" i="39"/>
  <c r="K52" i="39"/>
  <c r="K78" i="39" s="1"/>
  <c r="K57" i="39"/>
  <c r="C17" i="39"/>
  <c r="K17" i="39"/>
  <c r="C19" i="39"/>
  <c r="J20" i="39"/>
  <c r="J22" i="39"/>
  <c r="J23" i="39"/>
  <c r="K27" i="39"/>
  <c r="J29" i="39"/>
  <c r="C30" i="39"/>
  <c r="I30" i="39"/>
  <c r="K36" i="39"/>
  <c r="J38" i="39"/>
  <c r="C39" i="39"/>
  <c r="I39" i="39"/>
  <c r="K45" i="39"/>
  <c r="J46" i="39"/>
  <c r="C47" i="39"/>
  <c r="I47" i="39"/>
  <c r="K54" i="39"/>
  <c r="J55" i="39"/>
  <c r="J57" i="39"/>
  <c r="D17" i="39"/>
  <c r="I17" i="39"/>
  <c r="I20" i="39"/>
  <c r="C21" i="39"/>
  <c r="D23" i="39"/>
  <c r="J24" i="39"/>
  <c r="C32" i="39"/>
  <c r="C33" i="39"/>
  <c r="D33" i="39"/>
  <c r="D35" i="39"/>
  <c r="C41" i="39"/>
  <c r="C42" i="39"/>
  <c r="D42" i="39"/>
  <c r="D44" i="39"/>
  <c r="C49" i="39"/>
  <c r="C50" i="39"/>
  <c r="D50" i="39"/>
  <c r="D52" i="39"/>
  <c r="D78" i="39" s="1"/>
  <c r="K64" i="39"/>
  <c r="N77" i="39"/>
  <c r="C56" i="39"/>
  <c r="J58" i="39"/>
  <c r="C59" i="39"/>
  <c r="I59" i="39"/>
  <c r="C64" i="39"/>
  <c r="D64" i="39"/>
  <c r="C32" i="38"/>
  <c r="C65" i="38"/>
  <c r="J65" i="38"/>
  <c r="I75" i="38"/>
  <c r="D75" i="38"/>
  <c r="K78" i="38"/>
  <c r="C78" i="38"/>
  <c r="C93" i="38"/>
  <c r="I93" i="38"/>
  <c r="K96" i="38"/>
  <c r="C96" i="38"/>
  <c r="C99" i="38"/>
  <c r="J99" i="38"/>
  <c r="C100" i="38"/>
  <c r="J100" i="38"/>
  <c r="C28" i="38"/>
  <c r="J28" i="38"/>
  <c r="C35" i="38"/>
  <c r="C37" i="38"/>
  <c r="K44" i="38"/>
  <c r="K66" i="38"/>
  <c r="K79" i="38"/>
  <c r="C81" i="38"/>
  <c r="C123" i="38" s="1"/>
  <c r="I81" i="38"/>
  <c r="I123" i="38" s="1"/>
  <c r="J88" i="38"/>
  <c r="J93" i="38"/>
  <c r="K99" i="38"/>
  <c r="K100" i="38"/>
  <c r="I31" i="38"/>
  <c r="K32" i="38"/>
  <c r="K33" i="38"/>
  <c r="K61" i="38" s="1"/>
  <c r="I35" i="38"/>
  <c r="D36" i="38"/>
  <c r="K37" i="38"/>
  <c r="J38" i="38"/>
  <c r="K39" i="38"/>
  <c r="C40" i="38"/>
  <c r="C41" i="38"/>
  <c r="D41" i="38"/>
  <c r="J44" i="38"/>
  <c r="K45" i="38"/>
  <c r="J46" i="38"/>
  <c r="K47" i="38"/>
  <c r="C51" i="38"/>
  <c r="D51" i="38"/>
  <c r="I68" i="38"/>
  <c r="C69" i="38"/>
  <c r="D71" i="38"/>
  <c r="C77" i="38"/>
  <c r="I77" i="38"/>
  <c r="J79" i="38"/>
  <c r="D79" i="38"/>
  <c r="K80" i="38"/>
  <c r="C80" i="38"/>
  <c r="C83" i="38"/>
  <c r="J83" i="38"/>
  <c r="C84" i="38"/>
  <c r="J84" i="38"/>
  <c r="D87" i="38"/>
  <c r="C88" i="38"/>
  <c r="I91" i="38"/>
  <c r="D91" i="38"/>
  <c r="C92" i="38"/>
  <c r="K94" i="38"/>
  <c r="C94" i="38"/>
  <c r="C95" i="38"/>
  <c r="C66" i="38"/>
  <c r="J66" i="38"/>
  <c r="C36" i="38"/>
  <c r="J37" i="38"/>
  <c r="C38" i="38"/>
  <c r="I38" i="38"/>
  <c r="I43" i="38"/>
  <c r="J45" i="38"/>
  <c r="C46" i="38"/>
  <c r="I46" i="38"/>
  <c r="D65" i="38"/>
  <c r="I69" i="38"/>
  <c r="I82" i="38"/>
  <c r="C82" i="38"/>
  <c r="C33" i="38"/>
  <c r="C61" i="38" s="1"/>
  <c r="C42" i="38"/>
  <c r="I42" i="38"/>
  <c r="I45" i="38"/>
  <c r="D82" i="38"/>
  <c r="D89" i="38"/>
  <c r="J92" i="38"/>
  <c r="C97" i="38"/>
  <c r="I97" i="38"/>
  <c r="I98" i="38"/>
  <c r="C98" i="38"/>
  <c r="K71" i="38"/>
  <c r="I74" i="38"/>
  <c r="J81" i="38"/>
  <c r="J123" i="38" s="1"/>
  <c r="K88" i="38"/>
  <c r="I90" i="38"/>
  <c r="J97" i="38"/>
  <c r="K65" i="38"/>
  <c r="D66" i="38"/>
  <c r="J68" i="38"/>
  <c r="K76" i="38"/>
  <c r="I78" i="38"/>
  <c r="D84" i="38"/>
  <c r="J85" i="38"/>
  <c r="C89" i="38"/>
  <c r="K92" i="38"/>
  <c r="I94" i="38"/>
  <c r="D100" i="38"/>
  <c r="G20" i="38"/>
  <c r="G177" i="2"/>
  <c r="L172" i="2"/>
  <c r="E27" i="30"/>
  <c r="F115" i="30"/>
  <c r="G51" i="6"/>
  <c r="G29" i="6" s="1"/>
  <c r="I51" i="30"/>
  <c r="I45" i="30"/>
  <c r="I51" i="6"/>
  <c r="I29" i="6" s="1"/>
  <c r="G19" i="38"/>
  <c r="F23" i="38"/>
  <c r="K46" i="6"/>
  <c r="E46" i="6" s="1"/>
  <c r="I18" i="5"/>
  <c r="I26" i="5"/>
  <c r="G72" i="6"/>
  <c r="G30" i="6" s="1"/>
  <c r="G31" i="6" s="1"/>
  <c r="G119" i="2" s="1"/>
  <c r="I72" i="6"/>
  <c r="I30" i="6" s="1"/>
  <c r="J72" i="6"/>
  <c r="J30" i="6" s="1"/>
  <c r="I34" i="30"/>
  <c r="E72" i="6"/>
  <c r="E30" i="6" s="1"/>
  <c r="G256" i="2" l="1"/>
  <c r="J256" i="2" s="1"/>
  <c r="L256" i="2" s="1"/>
  <c r="I54" i="47"/>
  <c r="G32" i="38"/>
  <c r="A123" i="38"/>
  <c r="D34" i="5" s="1"/>
  <c r="A3" i="8"/>
  <c r="A120" i="38"/>
  <c r="I54" i="50"/>
  <c r="A28" i="48"/>
  <c r="A37" i="48" s="1"/>
  <c r="A39" i="48" s="1"/>
  <c r="E153" i="2" s="1"/>
  <c r="E106" i="2"/>
  <c r="G49" i="5"/>
  <c r="G51" i="5" s="1"/>
  <c r="E88" i="41"/>
  <c r="I54" i="49"/>
  <c r="I50" i="30"/>
  <c r="B23" i="7"/>
  <c r="D64" i="35"/>
  <c r="L80" i="2" s="1"/>
  <c r="E76" i="41"/>
  <c r="I33" i="30"/>
  <c r="I44" i="30"/>
  <c r="G113" i="38"/>
  <c r="C132" i="13"/>
  <c r="C133" i="13" s="1"/>
  <c r="C134" i="13" s="1"/>
  <c r="C135" i="13" s="1"/>
  <c r="C136" i="13" s="1"/>
  <c r="C137" i="13" s="1"/>
  <c r="C138" i="13" s="1"/>
  <c r="C139" i="13" s="1"/>
  <c r="C140" i="13" s="1"/>
  <c r="C141" i="13" s="1"/>
  <c r="C142" i="13" s="1"/>
  <c r="C143" i="13" s="1"/>
  <c r="C144" i="13" s="1"/>
  <c r="C145" i="13" s="1"/>
  <c r="C146" i="13" s="1"/>
  <c r="C147" i="13" s="1"/>
  <c r="C148" i="13" s="1"/>
  <c r="C149" i="13" s="1"/>
  <c r="C150" i="13" s="1"/>
  <c r="C151" i="13" s="1"/>
  <c r="C152" i="13" s="1"/>
  <c r="C153" i="13" s="1"/>
  <c r="C154" i="13" s="1"/>
  <c r="C155" i="13" s="1"/>
  <c r="C156" i="13" s="1"/>
  <c r="C157" i="13" s="1"/>
  <c r="C158" i="13" s="1"/>
  <c r="C159" i="13" s="1"/>
  <c r="C160" i="13" s="1"/>
  <c r="C161" i="13" s="1"/>
  <c r="M90" i="13"/>
  <c r="N21" i="13" s="1"/>
  <c r="N90" i="13"/>
  <c r="O21" i="13" s="1"/>
  <c r="A36" i="9"/>
  <c r="A37" i="9" s="1"/>
  <c r="A38" i="9" s="1"/>
  <c r="E146" i="2"/>
  <c r="H21" i="49"/>
  <c r="K21" i="49" s="1"/>
  <c r="D22" i="49"/>
  <c r="D23" i="50"/>
  <c r="H23" i="50" s="1"/>
  <c r="H22" i="50"/>
  <c r="K22" i="50" s="1"/>
  <c r="E101" i="41"/>
  <c r="H22" i="47"/>
  <c r="K22" i="47" s="1"/>
  <c r="B15" i="2"/>
  <c r="C103" i="41"/>
  <c r="C105" i="41" s="1"/>
  <c r="E100" i="41"/>
  <c r="C47" i="20"/>
  <c r="H21" i="50"/>
  <c r="K21" i="50" s="1"/>
  <c r="C104" i="41"/>
  <c r="F80" i="35"/>
  <c r="G108" i="2" s="1"/>
  <c r="L108" i="2" s="1"/>
  <c r="E89" i="41"/>
  <c r="S17" i="21"/>
  <c r="O33" i="21"/>
  <c r="G209" i="2" s="1"/>
  <c r="S22" i="21"/>
  <c r="G95" i="38"/>
  <c r="G91" i="38"/>
  <c r="G27" i="39"/>
  <c r="G43" i="5"/>
  <c r="G41" i="5"/>
  <c r="G71" i="38"/>
  <c r="E35" i="5"/>
  <c r="E33" i="5"/>
  <c r="E25" i="5"/>
  <c r="E27" i="5"/>
  <c r="I52" i="5"/>
  <c r="L103" i="2" s="1"/>
  <c r="E49" i="5"/>
  <c r="E51" i="5" s="1"/>
  <c r="G66" i="38"/>
  <c r="G86" i="38"/>
  <c r="F88" i="35"/>
  <c r="G110" i="2" s="1"/>
  <c r="G70" i="38"/>
  <c r="G65" i="38"/>
  <c r="A71" i="38"/>
  <c r="A72" i="38" s="1"/>
  <c r="A73" i="38" s="1"/>
  <c r="A74" i="38" s="1"/>
  <c r="A75" i="38" s="1"/>
  <c r="A76" i="38" s="1"/>
  <c r="A77" i="38" s="1"/>
  <c r="A78" i="38" s="1"/>
  <c r="A79" i="38" s="1"/>
  <c r="A80" i="38" s="1"/>
  <c r="A81" i="38" s="1"/>
  <c r="A82" i="38" s="1"/>
  <c r="A83" i="38" s="1"/>
  <c r="A84" i="38" s="1"/>
  <c r="A85" i="38" s="1"/>
  <c r="A86" i="38" s="1"/>
  <c r="A87" i="38" s="1"/>
  <c r="A88" i="38" s="1"/>
  <c r="A89" i="38" s="1"/>
  <c r="A90" i="38" s="1"/>
  <c r="A91" i="38" s="1"/>
  <c r="A92" i="38" s="1"/>
  <c r="A93" i="38" s="1"/>
  <c r="A94" i="38" s="1"/>
  <c r="G83" i="38"/>
  <c r="G36" i="38"/>
  <c r="G96" i="38"/>
  <c r="G77" i="38"/>
  <c r="G78" i="38"/>
  <c r="A25" i="39"/>
  <c r="A26" i="39" s="1"/>
  <c r="A27" i="39" s="1"/>
  <c r="A28" i="39" s="1"/>
  <c r="A29" i="39" s="1"/>
  <c r="A30" i="39" s="1"/>
  <c r="A31" i="39" s="1"/>
  <c r="A32" i="39" s="1"/>
  <c r="H21" i="47"/>
  <c r="K21" i="47" s="1"/>
  <c r="G134" i="38"/>
  <c r="C136" i="38"/>
  <c r="G76" i="38"/>
  <c r="G56" i="39"/>
  <c r="G99" i="38"/>
  <c r="G42" i="38"/>
  <c r="E17" i="5"/>
  <c r="E19" i="5"/>
  <c r="G32" i="39"/>
  <c r="G19" i="39"/>
  <c r="G87" i="38"/>
  <c r="G68" i="38"/>
  <c r="G89" i="38"/>
  <c r="G19" i="5"/>
  <c r="G17" i="5"/>
  <c r="E17" i="11"/>
  <c r="M17" i="11" s="1"/>
  <c r="M41" i="11" s="1"/>
  <c r="G184" i="2" s="1"/>
  <c r="L184" i="2" s="1"/>
  <c r="E71" i="9"/>
  <c r="H239" i="2"/>
  <c r="G59" i="39"/>
  <c r="G47" i="39"/>
  <c r="G39" i="39"/>
  <c r="G30" i="39"/>
  <c r="G21" i="39"/>
  <c r="G22" i="39"/>
  <c r="G17" i="39"/>
  <c r="G75" i="39"/>
  <c r="G34" i="39"/>
  <c r="G35" i="39"/>
  <c r="G24" i="39"/>
  <c r="G48" i="39"/>
  <c r="G70" i="39"/>
  <c r="G41" i="39"/>
  <c r="G52" i="39"/>
  <c r="G78" i="39" s="1"/>
  <c r="G44" i="39"/>
  <c r="G20" i="39"/>
  <c r="G29" i="39"/>
  <c r="G74" i="39"/>
  <c r="G33" i="39"/>
  <c r="G18" i="39"/>
  <c r="G25" i="39"/>
  <c r="G26" i="39"/>
  <c r="G51" i="39"/>
  <c r="G55" i="39"/>
  <c r="G60" i="39"/>
  <c r="G64" i="39"/>
  <c r="G31" i="39"/>
  <c r="G40" i="39"/>
  <c r="G45" i="39"/>
  <c r="G50" i="39"/>
  <c r="G38" i="39"/>
  <c r="G54" i="39"/>
  <c r="G71" i="39"/>
  <c r="G49" i="39"/>
  <c r="G42" i="39"/>
  <c r="G46" i="39"/>
  <c r="G57" i="39"/>
  <c r="G68" i="39"/>
  <c r="G98" i="38"/>
  <c r="G35" i="38"/>
  <c r="G28" i="38"/>
  <c r="G31" i="38"/>
  <c r="G39" i="38"/>
  <c r="G40" i="38"/>
  <c r="G44" i="38"/>
  <c r="J136" i="38"/>
  <c r="G69" i="38"/>
  <c r="G75" i="38"/>
  <c r="G81" i="38"/>
  <c r="G123" i="38" s="1"/>
  <c r="G97" i="38"/>
  <c r="G94" i="38"/>
  <c r="G41" i="38"/>
  <c r="G93" i="38"/>
  <c r="E116" i="38"/>
  <c r="E122" i="38" s="1"/>
  <c r="G82" i="38"/>
  <c r="G92" i="38"/>
  <c r="G51" i="38"/>
  <c r="G43" i="38"/>
  <c r="G55" i="38"/>
  <c r="G38" i="38"/>
  <c r="G46" i="38"/>
  <c r="G90" i="38"/>
  <c r="I116" i="38"/>
  <c r="I122" i="38" s="1"/>
  <c r="G84" i="38"/>
  <c r="G45" i="38"/>
  <c r="G74" i="38"/>
  <c r="G85" i="38"/>
  <c r="G119" i="38"/>
  <c r="D136" i="38"/>
  <c r="K136" i="38"/>
  <c r="G33" i="38"/>
  <c r="G61" i="38" s="1"/>
  <c r="G47" i="38"/>
  <c r="G54" i="38"/>
  <c r="G37" i="38"/>
  <c r="G17" i="38"/>
  <c r="G23" i="38" s="1"/>
  <c r="F33" i="10"/>
  <c r="F340" i="2" s="1"/>
  <c r="G189" i="2" s="1"/>
  <c r="G88" i="38"/>
  <c r="G80" i="38"/>
  <c r="J60" i="38"/>
  <c r="I60" i="38"/>
  <c r="G57" i="38"/>
  <c r="G94" i="2"/>
  <c r="G91" i="2"/>
  <c r="G46" i="11" s="1"/>
  <c r="G49" i="11" s="1"/>
  <c r="G51" i="11" s="1"/>
  <c r="G53" i="11" s="1"/>
  <c r="K41" i="11"/>
  <c r="G185" i="2" s="1"/>
  <c r="H42" i="41"/>
  <c r="G255" i="2" s="1"/>
  <c r="G23" i="41"/>
  <c r="E62" i="9"/>
  <c r="L44" i="2"/>
  <c r="G149" i="2"/>
  <c r="G113" i="2" s="1"/>
  <c r="P155" i="13"/>
  <c r="P135" i="13"/>
  <c r="D31" i="6"/>
  <c r="I31" i="6"/>
  <c r="G118" i="2" s="1"/>
  <c r="K51" i="6"/>
  <c r="K29" i="6" s="1"/>
  <c r="E51" i="6"/>
  <c r="E29" i="6" s="1"/>
  <c r="E31" i="6" s="1"/>
  <c r="G120" i="2" s="1"/>
  <c r="L120" i="2" s="1"/>
  <c r="J27" i="8"/>
  <c r="J31" i="8" s="1"/>
  <c r="P149" i="13"/>
  <c r="P125" i="13"/>
  <c r="P158" i="13"/>
  <c r="P146" i="13"/>
  <c r="P142" i="13"/>
  <c r="P130" i="13"/>
  <c r="P122" i="13"/>
  <c r="P118" i="13"/>
  <c r="A48" i="41"/>
  <c r="A49" i="41" s="1"/>
  <c r="E77" i="39"/>
  <c r="E181" i="2"/>
  <c r="E185" i="2"/>
  <c r="A46" i="11"/>
  <c r="E184" i="2"/>
  <c r="F32" i="49"/>
  <c r="A19" i="5"/>
  <c r="A20" i="5" s="1"/>
  <c r="A23" i="5" s="1"/>
  <c r="A25" i="5" s="1"/>
  <c r="K116" i="38"/>
  <c r="K122" i="38" s="1"/>
  <c r="E73" i="2"/>
  <c r="E25" i="30"/>
  <c r="E115" i="30" s="1"/>
  <c r="E20" i="11"/>
  <c r="G43" i="39"/>
  <c r="C77" i="39"/>
  <c r="F25" i="47"/>
  <c r="K60" i="38"/>
  <c r="F26" i="50"/>
  <c r="C60" i="38"/>
  <c r="J116" i="38"/>
  <c r="J122" i="38" s="1"/>
  <c r="F48" i="13"/>
  <c r="G48" i="20"/>
  <c r="E251" i="2"/>
  <c r="E250" i="2"/>
  <c r="E249" i="2"/>
  <c r="E248" i="2"/>
  <c r="G100" i="38"/>
  <c r="C116" i="38"/>
  <c r="C122" i="38" s="1"/>
  <c r="G23" i="39"/>
  <c r="E108" i="2"/>
  <c r="A84" i="35"/>
  <c r="D60" i="38"/>
  <c r="E60" i="38"/>
  <c r="D24" i="47"/>
  <c r="D25" i="47" s="1"/>
  <c r="D26" i="47" s="1"/>
  <c r="D27" i="47" s="1"/>
  <c r="D28" i="47" s="1"/>
  <c r="D29" i="47" s="1"/>
  <c r="D30" i="47" s="1"/>
  <c r="D31" i="47" s="1"/>
  <c r="D32" i="47" s="1"/>
  <c r="H23" i="47"/>
  <c r="K23" i="47" s="1"/>
  <c r="G79" i="38"/>
  <c r="D116" i="38"/>
  <c r="D122" i="38" s="1"/>
  <c r="E69" i="2"/>
  <c r="E67" i="2"/>
  <c r="E66" i="2"/>
  <c r="E71" i="2"/>
  <c r="E72" i="2"/>
  <c r="E74" i="2"/>
  <c r="A29" i="35"/>
  <c r="A30" i="35" s="1"/>
  <c r="A31" i="35" s="1"/>
  <c r="A32" i="35" s="1"/>
  <c r="A33" i="35" s="1"/>
  <c r="A34" i="35" s="1"/>
  <c r="A35" i="35" s="1"/>
  <c r="A36" i="35" s="1"/>
  <c r="A37" i="35" s="1"/>
  <c r="A38" i="35" s="1"/>
  <c r="A39" i="35" s="1"/>
  <c r="A40" i="35" s="1"/>
  <c r="A41" i="35" s="1"/>
  <c r="A42" i="35" s="1"/>
  <c r="D103" i="41"/>
  <c r="D105" i="41" s="1"/>
  <c r="D95" i="41"/>
  <c r="K72" i="6"/>
  <c r="K30" i="6" s="1"/>
  <c r="E94" i="41"/>
  <c r="I136" i="38"/>
  <c r="I41" i="11"/>
  <c r="G181" i="2" s="1"/>
  <c r="F116" i="38"/>
  <c r="F122" i="38" s="1"/>
  <c r="G36" i="39"/>
  <c r="G58" i="39"/>
  <c r="G133" i="38"/>
  <c r="S27" i="21"/>
  <c r="J51" i="6"/>
  <c r="J29" i="6" s="1"/>
  <c r="J31" i="6" s="1"/>
  <c r="G117" i="2" s="1"/>
  <c r="P154" i="13"/>
  <c r="P160" i="13"/>
  <c r="P148" i="13"/>
  <c r="P128" i="13"/>
  <c r="P116" i="13"/>
  <c r="P152" i="13"/>
  <c r="P145" i="13"/>
  <c r="P141" i="13"/>
  <c r="P133" i="13"/>
  <c r="P129" i="13"/>
  <c r="P121" i="13"/>
  <c r="P113" i="13"/>
  <c r="P159" i="13"/>
  <c r="P147" i="13"/>
  <c r="P136" i="13"/>
  <c r="P127" i="13"/>
  <c r="P123" i="13"/>
  <c r="P115" i="13"/>
  <c r="P161" i="13"/>
  <c r="P157" i="13"/>
  <c r="P153" i="13"/>
  <c r="P137" i="13"/>
  <c r="P144" i="13"/>
  <c r="P140" i="13"/>
  <c r="P124" i="13"/>
  <c r="P120" i="13"/>
  <c r="P112" i="13"/>
  <c r="P151" i="13"/>
  <c r="P143" i="13"/>
  <c r="P119" i="13"/>
  <c r="P150" i="13"/>
  <c r="L229" i="2"/>
  <c r="L68" i="2" s="1"/>
  <c r="P156" i="13"/>
  <c r="P139" i="13"/>
  <c r="P131" i="13"/>
  <c r="P138" i="13"/>
  <c r="P134" i="13"/>
  <c r="P117" i="13"/>
  <c r="L252" i="2"/>
  <c r="G257" i="2" s="1"/>
  <c r="P126" i="13"/>
  <c r="L119" i="2"/>
  <c r="G93" i="2"/>
  <c r="K46" i="11" s="1"/>
  <c r="K49" i="11" s="1"/>
  <c r="K51" i="11" s="1"/>
  <c r="K53" i="11" s="1"/>
  <c r="L71" i="2"/>
  <c r="G92" i="2"/>
  <c r="I46" i="11" s="1"/>
  <c r="I49" i="11" s="1"/>
  <c r="I51" i="11" s="1"/>
  <c r="I53" i="11" s="1"/>
  <c r="G75" i="2"/>
  <c r="L79" i="2"/>
  <c r="G90" i="2"/>
  <c r="L207" i="2"/>
  <c r="P114" i="13"/>
  <c r="L78" i="2"/>
  <c r="G87" i="2"/>
  <c r="P132" i="13"/>
  <c r="E22" i="13" l="1"/>
  <c r="E22" i="20"/>
  <c r="J80" i="2"/>
  <c r="J81" i="2" s="1"/>
  <c r="L81" i="2" s="1"/>
  <c r="H75" i="13"/>
  <c r="L92" i="2"/>
  <c r="G193" i="2"/>
  <c r="L200" i="2" s="1"/>
  <c r="E38" i="13" s="1"/>
  <c r="L48" i="2"/>
  <c r="A39" i="9"/>
  <c r="A40" i="9" s="1"/>
  <c r="A125" i="38"/>
  <c r="A127" i="38" s="1"/>
  <c r="A129" i="38" s="1"/>
  <c r="A131" i="38" s="1"/>
  <c r="A132" i="38" s="1"/>
  <c r="A133" i="38" s="1"/>
  <c r="A134" i="38" s="1"/>
  <c r="A135" i="38" s="1"/>
  <c r="A136" i="38" s="1"/>
  <c r="D52" i="5" s="1"/>
  <c r="A41" i="48"/>
  <c r="B43" i="48" s="1"/>
  <c r="E103" i="41"/>
  <c r="E105" i="41" s="1"/>
  <c r="S33" i="21"/>
  <c r="L209" i="2" s="1"/>
  <c r="D24" i="50"/>
  <c r="H24" i="50" s="1"/>
  <c r="K24" i="50" s="1"/>
  <c r="G136" i="38"/>
  <c r="O90" i="13"/>
  <c r="P21" i="13"/>
  <c r="H24" i="47"/>
  <c r="K24" i="47" s="1"/>
  <c r="D20" i="5"/>
  <c r="B18" i="2"/>
  <c r="B20" i="2" s="1"/>
  <c r="B27" i="2" s="1"/>
  <c r="B29" i="2" s="1"/>
  <c r="B30" i="2" s="1"/>
  <c r="D23" i="49"/>
  <c r="H22" i="49"/>
  <c r="K22" i="49" s="1"/>
  <c r="I49" i="5"/>
  <c r="I51" i="5" s="1"/>
  <c r="G103" i="2" s="1"/>
  <c r="A95" i="38"/>
  <c r="A96" i="38" s="1"/>
  <c r="A97" i="38" s="1"/>
  <c r="A98" i="38" s="1"/>
  <c r="A99" i="38" s="1"/>
  <c r="A100" i="38" s="1"/>
  <c r="A101" i="38" s="1"/>
  <c r="A102" i="38" s="1"/>
  <c r="A103" i="38" s="1"/>
  <c r="A104" i="38" s="1"/>
  <c r="A105" i="38" s="1"/>
  <c r="A106" i="38" s="1"/>
  <c r="A107" i="38" s="1"/>
  <c r="A108" i="38" s="1"/>
  <c r="A109" i="38" s="1"/>
  <c r="A110" i="38" s="1"/>
  <c r="E36" i="5"/>
  <c r="I35" i="5"/>
  <c r="A33" i="39"/>
  <c r="A34" i="39" s="1"/>
  <c r="A35" i="39" s="1"/>
  <c r="A36" i="39" s="1"/>
  <c r="A37" i="39" s="1"/>
  <c r="A38" i="39" s="1"/>
  <c r="A39" i="39" s="1"/>
  <c r="A40" i="39" s="1"/>
  <c r="A41" i="39" s="1"/>
  <c r="A42" i="39" s="1"/>
  <c r="A43" i="39" s="1"/>
  <c r="A44" i="39" s="1"/>
  <c r="A45" i="39" s="1"/>
  <c r="A46" i="39" s="1"/>
  <c r="A47" i="39" s="1"/>
  <c r="A48" i="39" s="1"/>
  <c r="A49" i="39" s="1"/>
  <c r="A50" i="39" s="1"/>
  <c r="A51" i="39" s="1"/>
  <c r="A52" i="39" s="1"/>
  <c r="A53" i="39" s="1"/>
  <c r="A54" i="39" s="1"/>
  <c r="A55" i="39" s="1"/>
  <c r="A56" i="39" s="1"/>
  <c r="A57" i="39" s="1"/>
  <c r="G258" i="2"/>
  <c r="H255" i="2" s="1"/>
  <c r="I33" i="5"/>
  <c r="G101" i="2" s="1"/>
  <c r="I27" i="5"/>
  <c r="E28" i="5"/>
  <c r="I19" i="5"/>
  <c r="E20" i="5"/>
  <c r="I25" i="5"/>
  <c r="G28" i="5"/>
  <c r="I17" i="5"/>
  <c r="G20" i="5"/>
  <c r="G44" i="5"/>
  <c r="I34" i="5"/>
  <c r="G36" i="5"/>
  <c r="G116" i="38"/>
  <c r="G122" i="38" s="1"/>
  <c r="K31" i="6"/>
  <c r="G121" i="2"/>
  <c r="A50" i="41"/>
  <c r="A51" i="41" s="1"/>
  <c r="A52" i="41" s="1"/>
  <c r="A53" i="41" s="1"/>
  <c r="A54" i="41" s="1"/>
  <c r="A55" i="41" s="1"/>
  <c r="A56" i="41" s="1"/>
  <c r="L90" i="2"/>
  <c r="F26" i="47"/>
  <c r="H25" i="47"/>
  <c r="K25" i="47" s="1"/>
  <c r="G60" i="38"/>
  <c r="F39" i="49"/>
  <c r="F36" i="49"/>
  <c r="A48" i="11"/>
  <c r="A49" i="11" s="1"/>
  <c r="L231" i="2"/>
  <c r="F27" i="50"/>
  <c r="D104" i="41"/>
  <c r="E95" i="41"/>
  <c r="E104" i="41" s="1"/>
  <c r="J76" i="2"/>
  <c r="G20" i="11"/>
  <c r="G41" i="11" s="1"/>
  <c r="G183" i="2" s="1"/>
  <c r="G186" i="2" s="1"/>
  <c r="E41" i="11"/>
  <c r="G75" i="20"/>
  <c r="E85" i="2"/>
  <c r="E82" i="2"/>
  <c r="E84" i="2"/>
  <c r="E83" i="2"/>
  <c r="E79" i="2"/>
  <c r="A49" i="35"/>
  <c r="A50" i="35" s="1"/>
  <c r="A51" i="35" s="1"/>
  <c r="A52" i="35" s="1"/>
  <c r="A53" i="35" s="1"/>
  <c r="A54" i="35" s="1"/>
  <c r="A55" i="35" s="1"/>
  <c r="A56" i="35" s="1"/>
  <c r="A57" i="35" s="1"/>
  <c r="A58" i="35" s="1"/>
  <c r="A59" i="35" s="1"/>
  <c r="A60" i="35" s="1"/>
  <c r="A61" i="35" s="1"/>
  <c r="A62" i="35" s="1"/>
  <c r="E80" i="2"/>
  <c r="E81" i="2"/>
  <c r="E78" i="2"/>
  <c r="E86" i="2"/>
  <c r="K23" i="50"/>
  <c r="A26" i="5"/>
  <c r="A27" i="5" s="1"/>
  <c r="A28" i="5" s="1"/>
  <c r="A31" i="5" s="1"/>
  <c r="A33" i="5" s="1"/>
  <c r="K55" i="11"/>
  <c r="K56" i="11" s="1"/>
  <c r="E46" i="11"/>
  <c r="G95" i="2"/>
  <c r="J174" i="2" l="1"/>
  <c r="L174" i="2" s="1"/>
  <c r="G59" i="20" s="1"/>
  <c r="G201" i="2"/>
  <c r="F38" i="20"/>
  <c r="G200" i="2"/>
  <c r="L201" i="2"/>
  <c r="E39" i="13" s="1"/>
  <c r="G199" i="2"/>
  <c r="J149" i="2"/>
  <c r="L149" i="2" s="1"/>
  <c r="L113" i="2" s="1"/>
  <c r="D21" i="13"/>
  <c r="E154" i="2"/>
  <c r="A43" i="48"/>
  <c r="A45" i="48" s="1"/>
  <c r="B47" i="48" s="1"/>
  <c r="D25" i="50"/>
  <c r="D26" i="50" s="1"/>
  <c r="A41" i="9"/>
  <c r="A42" i="9" s="1"/>
  <c r="L246" i="2"/>
  <c r="C49" i="11"/>
  <c r="E20" i="2"/>
  <c r="D24" i="49"/>
  <c r="H23" i="49"/>
  <c r="K23" i="49" s="1"/>
  <c r="D33" i="2"/>
  <c r="E31" i="2"/>
  <c r="B31" i="2"/>
  <c r="B33" i="2" s="1"/>
  <c r="B34" i="2" s="1"/>
  <c r="J114" i="2"/>
  <c r="L114" i="2" s="1"/>
  <c r="J235" i="2"/>
  <c r="L235" i="2" s="1"/>
  <c r="A111" i="38"/>
  <c r="A112" i="38" s="1"/>
  <c r="A113" i="38" s="1"/>
  <c r="A58" i="39"/>
  <c r="A59" i="39" s="1"/>
  <c r="A60" i="39" s="1"/>
  <c r="A61" i="39" s="1"/>
  <c r="A62" i="39" s="1"/>
  <c r="A63" i="39" s="1"/>
  <c r="A64" i="39" s="1"/>
  <c r="A65" i="39" s="1"/>
  <c r="A66" i="39" s="1"/>
  <c r="A67" i="39" s="1"/>
  <c r="J161" i="2"/>
  <c r="D21" i="20"/>
  <c r="E77" i="41"/>
  <c r="E79" i="41" s="1"/>
  <c r="E80" i="41" s="1"/>
  <c r="E51" i="41" s="1"/>
  <c r="E56" i="41" s="1"/>
  <c r="L245" i="2" s="1"/>
  <c r="H257" i="2"/>
  <c r="H256" i="2"/>
  <c r="I36" i="5"/>
  <c r="L101" i="2" s="1"/>
  <c r="G100" i="2"/>
  <c r="I28" i="5"/>
  <c r="L100" i="2" s="1"/>
  <c r="G99" i="2"/>
  <c r="I20" i="5"/>
  <c r="L99" i="2" s="1"/>
  <c r="J162" i="2"/>
  <c r="L162" i="2" s="1"/>
  <c r="J69" i="2"/>
  <c r="L69" i="2" s="1"/>
  <c r="H26" i="47"/>
  <c r="F27" i="47"/>
  <c r="F40" i="49"/>
  <c r="F28" i="50"/>
  <c r="B58" i="41"/>
  <c r="E245" i="2"/>
  <c r="A58" i="41"/>
  <c r="B56" i="41"/>
  <c r="D28" i="5"/>
  <c r="D227" i="2"/>
  <c r="D228" i="2"/>
  <c r="A50" i="11"/>
  <c r="A51" i="11" s="1"/>
  <c r="A34" i="5"/>
  <c r="A35" i="5" s="1"/>
  <c r="A36" i="5" s="1"/>
  <c r="A39" i="5" s="1"/>
  <c r="A41" i="5" s="1"/>
  <c r="E49" i="11"/>
  <c r="M46" i="11"/>
  <c r="F39" i="20" l="1"/>
  <c r="H76" i="13"/>
  <c r="H77" i="13" s="1"/>
  <c r="H78" i="13" s="1"/>
  <c r="H79" i="13" s="1"/>
  <c r="D98" i="13" s="1"/>
  <c r="J99" i="13" s="1"/>
  <c r="E102" i="13" s="1"/>
  <c r="F102" i="13" s="1"/>
  <c r="G102" i="13" s="1"/>
  <c r="F59" i="13"/>
  <c r="G76" i="20"/>
  <c r="G77" i="20" s="1"/>
  <c r="G78" i="20" s="1"/>
  <c r="G79" i="20" s="1"/>
  <c r="D96" i="20" s="1"/>
  <c r="I97" i="20" s="1"/>
  <c r="E100" i="20" s="1"/>
  <c r="F100" i="20" s="1"/>
  <c r="D101" i="20" s="1"/>
  <c r="E101" i="20" s="1"/>
  <c r="F101" i="20" s="1"/>
  <c r="D102" i="20" s="1"/>
  <c r="E102" i="20" s="1"/>
  <c r="F102" i="20" s="1"/>
  <c r="D103" i="20" s="1"/>
  <c r="D23" i="13"/>
  <c r="F23" i="13" s="1"/>
  <c r="L239" i="2"/>
  <c r="L241" i="2" s="1"/>
  <c r="J117" i="2" s="1"/>
  <c r="L117" i="2" s="1"/>
  <c r="L91" i="2"/>
  <c r="I256" i="2"/>
  <c r="H25" i="50"/>
  <c r="K25" i="50" s="1"/>
  <c r="A45" i="9"/>
  <c r="A46" i="9" s="1"/>
  <c r="A47" i="9" s="1"/>
  <c r="A48" i="9" s="1"/>
  <c r="A49" i="9" s="1"/>
  <c r="A50" i="9" s="1"/>
  <c r="A51" i="9" s="1"/>
  <c r="A52" i="9" s="1"/>
  <c r="A53" i="9" s="1"/>
  <c r="A54" i="9" s="1"/>
  <c r="A55" i="9" s="1"/>
  <c r="A56" i="9" s="1"/>
  <c r="A57" i="9" s="1"/>
  <c r="A58" i="9" s="1"/>
  <c r="A59" i="9" s="1"/>
  <c r="A60" i="9" s="1"/>
  <c r="A62" i="9" s="1"/>
  <c r="E161" i="2"/>
  <c r="C51" i="11"/>
  <c r="D36" i="2"/>
  <c r="C70" i="20"/>
  <c r="C70" i="13"/>
  <c r="B36" i="2"/>
  <c r="B37" i="2" s="1"/>
  <c r="D25" i="49"/>
  <c r="H24" i="49"/>
  <c r="K24" i="49" s="1"/>
  <c r="A68" i="39"/>
  <c r="A69" i="39" s="1"/>
  <c r="E58" i="41"/>
  <c r="J255" i="2" s="1"/>
  <c r="E21" i="20" s="1"/>
  <c r="F21" i="20" s="1"/>
  <c r="D23" i="20"/>
  <c r="F23" i="20" s="1"/>
  <c r="D22" i="20"/>
  <c r="F22" i="20" s="1"/>
  <c r="D22" i="13"/>
  <c r="F22" i="13" s="1"/>
  <c r="I257" i="2"/>
  <c r="L257" i="2" s="1"/>
  <c r="I255" i="2"/>
  <c r="D27" i="50"/>
  <c r="H26" i="50"/>
  <c r="K26" i="50" s="1"/>
  <c r="A47" i="48"/>
  <c r="C21" i="48" s="1"/>
  <c r="E155" i="2"/>
  <c r="F41" i="49"/>
  <c r="A61" i="41"/>
  <c r="D255" i="2"/>
  <c r="A42" i="5"/>
  <c r="A43" i="5" s="1"/>
  <c r="A44" i="5" s="1"/>
  <c r="A47" i="5" s="1"/>
  <c r="A49" i="5" s="1"/>
  <c r="D36" i="5"/>
  <c r="F29" i="50"/>
  <c r="F28" i="47"/>
  <c r="H27" i="47"/>
  <c r="K27" i="47" s="1"/>
  <c r="K26" i="47"/>
  <c r="A52" i="11"/>
  <c r="A53" i="11" s="1"/>
  <c r="M49" i="11"/>
  <c r="E51" i="11"/>
  <c r="D103" i="13" l="1"/>
  <c r="J176" i="2"/>
  <c r="L176" i="2" s="1"/>
  <c r="J72" i="2"/>
  <c r="L72" i="2" s="1"/>
  <c r="J164" i="2"/>
  <c r="J84" i="2"/>
  <c r="L84" i="2" s="1"/>
  <c r="J115" i="2"/>
  <c r="L115" i="2" s="1"/>
  <c r="J86" i="2"/>
  <c r="L86" i="2" s="1"/>
  <c r="J181" i="2"/>
  <c r="L181" i="2" s="1"/>
  <c r="J175" i="2"/>
  <c r="L175" i="2" s="1"/>
  <c r="F64" i="13"/>
  <c r="G64" i="20"/>
  <c r="J73" i="2"/>
  <c r="L73" i="2" s="1"/>
  <c r="J159" i="2"/>
  <c r="J110" i="2"/>
  <c r="L110" i="2" s="1"/>
  <c r="J85" i="2"/>
  <c r="L85" i="2" s="1"/>
  <c r="J74" i="2"/>
  <c r="L74" i="2" s="1"/>
  <c r="E162" i="2"/>
  <c r="A65" i="9"/>
  <c r="A66" i="9" s="1"/>
  <c r="A67" i="9" s="1"/>
  <c r="A68" i="9" s="1"/>
  <c r="A69" i="9" s="1"/>
  <c r="A71" i="9" s="1"/>
  <c r="E163" i="2" s="1"/>
  <c r="E21" i="13"/>
  <c r="F21" i="13" s="1"/>
  <c r="F24" i="13" s="1"/>
  <c r="E29" i="13" s="1"/>
  <c r="A70" i="39"/>
  <c r="A71" i="39" s="1"/>
  <c r="A72" i="39" s="1"/>
  <c r="A73" i="39" s="1"/>
  <c r="A74" i="39" s="1"/>
  <c r="A75" i="39" s="1"/>
  <c r="D26" i="49"/>
  <c r="H25" i="49"/>
  <c r="K25" i="49" s="1"/>
  <c r="B24" i="2"/>
  <c r="B39" i="2"/>
  <c r="B42" i="2" s="1"/>
  <c r="B44" i="2" s="1"/>
  <c r="B45" i="2" s="1"/>
  <c r="B46" i="2" s="1"/>
  <c r="B48" i="2" s="1"/>
  <c r="B66" i="2" s="1"/>
  <c r="L255" i="2"/>
  <c r="F24" i="20"/>
  <c r="F29" i="20" s="1"/>
  <c r="A50" i="5"/>
  <c r="A51" i="5" s="1"/>
  <c r="A52" i="5" s="1"/>
  <c r="A54" i="11"/>
  <c r="C54" i="11"/>
  <c r="C53" i="11"/>
  <c r="F30" i="50"/>
  <c r="D63" i="41"/>
  <c r="A64" i="41"/>
  <c r="D28" i="50"/>
  <c r="H27" i="50"/>
  <c r="F42" i="49"/>
  <c r="F29" i="47"/>
  <c r="H28" i="47"/>
  <c r="D44" i="5"/>
  <c r="E103" i="20"/>
  <c r="F103" i="20" s="1"/>
  <c r="D104" i="20" s="1"/>
  <c r="E103" i="13"/>
  <c r="E53" i="11"/>
  <c r="M51" i="11"/>
  <c r="L177" i="2" l="1"/>
  <c r="L87" i="2"/>
  <c r="L93" i="2"/>
  <c r="L94" i="2"/>
  <c r="L258" i="2"/>
  <c r="L75" i="2"/>
  <c r="J75" i="2" s="1"/>
  <c r="J160" i="2" s="1"/>
  <c r="L160" i="2" s="1"/>
  <c r="E36" i="9"/>
  <c r="E42" i="9" s="1"/>
  <c r="F42" i="9"/>
  <c r="G161" i="2" s="1"/>
  <c r="L161" i="2" s="1"/>
  <c r="E48" i="2"/>
  <c r="D303" i="2"/>
  <c r="D27" i="49"/>
  <c r="H26" i="49"/>
  <c r="K26" i="49" s="1"/>
  <c r="F30" i="47"/>
  <c r="H29" i="47"/>
  <c r="K29" i="47" s="1"/>
  <c r="K27" i="50"/>
  <c r="B67" i="2"/>
  <c r="B68" i="2" s="1"/>
  <c r="D29" i="50"/>
  <c r="H28" i="50"/>
  <c r="K28" i="50" s="1"/>
  <c r="C55" i="11"/>
  <c r="A55" i="11"/>
  <c r="F31" i="50"/>
  <c r="A65" i="41"/>
  <c r="A66" i="41" s="1"/>
  <c r="A67" i="41" s="1"/>
  <c r="A68" i="41" s="1"/>
  <c r="A69" i="41" s="1"/>
  <c r="A70" i="41" s="1"/>
  <c r="A71" i="41" s="1"/>
  <c r="A72" i="41" s="1"/>
  <c r="A73" i="41" s="1"/>
  <c r="A74" i="41" s="1"/>
  <c r="F43" i="49"/>
  <c r="D51" i="5"/>
  <c r="K28" i="47"/>
  <c r="E104" i="20"/>
  <c r="F104" i="20" s="1"/>
  <c r="D105" i="20" s="1"/>
  <c r="E54" i="11"/>
  <c r="E55" i="11" s="1"/>
  <c r="G54" i="11"/>
  <c r="G55" i="11" s="1"/>
  <c r="G56" i="11" s="1"/>
  <c r="I54" i="11"/>
  <c r="I55" i="11" s="1"/>
  <c r="I56" i="11" s="1"/>
  <c r="F103" i="13"/>
  <c r="L95" i="2" l="1"/>
  <c r="J95" i="2" s="1"/>
  <c r="G190" i="2"/>
  <c r="G211" i="2" s="1"/>
  <c r="J199" i="2"/>
  <c r="L199" i="2" s="1"/>
  <c r="F37" i="20" s="1"/>
  <c r="J116" i="2"/>
  <c r="L116" i="2" s="1"/>
  <c r="J118" i="2"/>
  <c r="L118" i="2" s="1"/>
  <c r="J185" i="2"/>
  <c r="L185" i="2" s="1"/>
  <c r="B76" i="41"/>
  <c r="D28" i="49"/>
  <c r="H27" i="49"/>
  <c r="K27" i="49" s="1"/>
  <c r="D30" i="50"/>
  <c r="H29" i="50"/>
  <c r="C75" i="20"/>
  <c r="E226" i="2"/>
  <c r="B69" i="2"/>
  <c r="B70" i="2" s="1"/>
  <c r="C75" i="13"/>
  <c r="A76" i="41"/>
  <c r="B50" i="41"/>
  <c r="F32" i="50"/>
  <c r="A56" i="11"/>
  <c r="C56" i="11"/>
  <c r="F44" i="49"/>
  <c r="H30" i="47"/>
  <c r="F31" i="47"/>
  <c r="M55" i="11"/>
  <c r="E105" i="20"/>
  <c r="F105" i="20" s="1"/>
  <c r="D106" i="20" s="1"/>
  <c r="E56" i="11"/>
  <c r="D104" i="13"/>
  <c r="G103" i="13"/>
  <c r="F35" i="20" l="1"/>
  <c r="E35" i="13"/>
  <c r="L211" i="2"/>
  <c r="L121" i="2"/>
  <c r="E37" i="13"/>
  <c r="H28" i="49"/>
  <c r="K28" i="49" s="1"/>
  <c r="D29" i="49"/>
  <c r="B71" i="2"/>
  <c r="B72" i="2" s="1"/>
  <c r="K30" i="47"/>
  <c r="K29" i="50"/>
  <c r="F39" i="50"/>
  <c r="F36" i="50"/>
  <c r="A77" i="41"/>
  <c r="A78" i="41" s="1"/>
  <c r="A79" i="41" s="1"/>
  <c r="A80" i="41" s="1"/>
  <c r="D31" i="50"/>
  <c r="H30" i="50"/>
  <c r="K30" i="50" s="1"/>
  <c r="F45" i="49"/>
  <c r="A57" i="11"/>
  <c r="C57" i="11"/>
  <c r="H31" i="47"/>
  <c r="K31" i="47" s="1"/>
  <c r="F32" i="47"/>
  <c r="M56" i="11"/>
  <c r="E57" i="11" s="1"/>
  <c r="E106" i="20"/>
  <c r="F106" i="20" s="1"/>
  <c r="D107" i="20" s="1"/>
  <c r="E104" i="13"/>
  <c r="F104" i="13" s="1"/>
  <c r="D30" i="49" l="1"/>
  <c r="H29" i="49"/>
  <c r="K29" i="49" s="1"/>
  <c r="D32" i="50"/>
  <c r="H32" i="50" s="1"/>
  <c r="K32" i="50" s="1"/>
  <c r="H31" i="50"/>
  <c r="F36" i="47"/>
  <c r="F39" i="47"/>
  <c r="H32" i="47"/>
  <c r="A85" i="41"/>
  <c r="B51" i="41"/>
  <c r="F46" i="49"/>
  <c r="B80" i="41"/>
  <c r="B73" i="2"/>
  <c r="B74" i="2" s="1"/>
  <c r="F40" i="50"/>
  <c r="D105" i="13"/>
  <c r="G104" i="13"/>
  <c r="I57" i="11"/>
  <c r="G57" i="11"/>
  <c r="H31" i="30" s="1"/>
  <c r="I31" i="30" s="1"/>
  <c r="E107" i="20"/>
  <c r="F107" i="20" s="1"/>
  <c r="D108" i="20" s="1"/>
  <c r="H30" i="49" l="1"/>
  <c r="K30" i="49" s="1"/>
  <c r="D31" i="49"/>
  <c r="I28" i="30"/>
  <c r="I30" i="30"/>
  <c r="K32" i="47"/>
  <c r="K33" i="47" s="1"/>
  <c r="D36" i="47" s="1"/>
  <c r="H36" i="47" s="1"/>
  <c r="H33" i="47"/>
  <c r="K31" i="50"/>
  <c r="K33" i="50" s="1"/>
  <c r="D36" i="50" s="1"/>
  <c r="H33" i="50"/>
  <c r="A86" i="41"/>
  <c r="B75" i="2"/>
  <c r="B77" i="2" s="1"/>
  <c r="B78" i="2" s="1"/>
  <c r="E75" i="2"/>
  <c r="F40" i="47"/>
  <c r="F47" i="49"/>
  <c r="F41" i="50"/>
  <c r="E108" i="20"/>
  <c r="F108" i="20" s="1"/>
  <c r="D109" i="20" s="1"/>
  <c r="E105" i="13"/>
  <c r="F105" i="13" s="1"/>
  <c r="D106" i="13" s="1"/>
  <c r="D32" i="49" l="1"/>
  <c r="H32" i="49" s="1"/>
  <c r="K32" i="49" s="1"/>
  <c r="H31" i="49"/>
  <c r="I27" i="30"/>
  <c r="I25" i="30" s="1"/>
  <c r="L183" i="2" s="1"/>
  <c r="H36" i="50"/>
  <c r="K36" i="50" s="1"/>
  <c r="F41" i="47"/>
  <c r="F48" i="49"/>
  <c r="F42" i="50"/>
  <c r="B79" i="2"/>
  <c r="B80" i="2" s="1"/>
  <c r="A87" i="41"/>
  <c r="A88" i="41" s="1"/>
  <c r="K36" i="47"/>
  <c r="E109" i="20"/>
  <c r="F109" i="20" s="1"/>
  <c r="D110" i="20" s="1"/>
  <c r="E106" i="13"/>
  <c r="F106" i="13" s="1"/>
  <c r="G105" i="13"/>
  <c r="L186" i="2" l="1"/>
  <c r="K31" i="49"/>
  <c r="K33" i="49" s="1"/>
  <c r="D36" i="49" s="1"/>
  <c r="H36" i="49" s="1"/>
  <c r="K36" i="49" s="1"/>
  <c r="D39" i="49" s="1"/>
  <c r="H33" i="49"/>
  <c r="E90" i="2"/>
  <c r="D39" i="50"/>
  <c r="I39" i="50"/>
  <c r="F49" i="49"/>
  <c r="F43" i="50"/>
  <c r="A89" i="41"/>
  <c r="B89" i="41"/>
  <c r="F42" i="47"/>
  <c r="D39" i="47"/>
  <c r="I39" i="47"/>
  <c r="B88" i="41"/>
  <c r="B81" i="2"/>
  <c r="B82" i="2" s="1"/>
  <c r="E110" i="20"/>
  <c r="F110" i="20" s="1"/>
  <c r="D107" i="13"/>
  <c r="G106" i="13"/>
  <c r="E91" i="2" l="1"/>
  <c r="I39" i="49"/>
  <c r="I40" i="49" s="1"/>
  <c r="I41" i="49" s="1"/>
  <c r="I42" i="49" s="1"/>
  <c r="I43" i="49" s="1"/>
  <c r="I44" i="49" s="1"/>
  <c r="I45" i="49" s="1"/>
  <c r="I46" i="49" s="1"/>
  <c r="I47" i="49" s="1"/>
  <c r="I48" i="49" s="1"/>
  <c r="I49" i="49" s="1"/>
  <c r="I50" i="49" s="1"/>
  <c r="D111" i="20"/>
  <c r="E111" i="20" s="1"/>
  <c r="F111" i="20" s="1"/>
  <c r="F44" i="50"/>
  <c r="K39" i="47"/>
  <c r="D40" i="47" s="1"/>
  <c r="H39" i="47"/>
  <c r="I40" i="47"/>
  <c r="I41" i="47" s="1"/>
  <c r="I42" i="47" s="1"/>
  <c r="I43" i="47" s="1"/>
  <c r="I44" i="47" s="1"/>
  <c r="I45" i="47" s="1"/>
  <c r="I46" i="47" s="1"/>
  <c r="I47" i="47" s="1"/>
  <c r="I48" i="47" s="1"/>
  <c r="I49" i="47" s="1"/>
  <c r="I50" i="47" s="1"/>
  <c r="F50" i="49"/>
  <c r="F43" i="47"/>
  <c r="I40" i="50"/>
  <c r="I41" i="50" s="1"/>
  <c r="I42" i="50" s="1"/>
  <c r="I43" i="50" s="1"/>
  <c r="I44" i="50" s="1"/>
  <c r="I45" i="50" s="1"/>
  <c r="I46" i="50" s="1"/>
  <c r="I47" i="50" s="1"/>
  <c r="I48" i="50" s="1"/>
  <c r="I49" i="50" s="1"/>
  <c r="I50" i="50" s="1"/>
  <c r="K39" i="50"/>
  <c r="D40" i="50" s="1"/>
  <c r="H39" i="50"/>
  <c r="A91" i="41"/>
  <c r="B83" i="2"/>
  <c r="B84" i="2" s="1"/>
  <c r="H39" i="49"/>
  <c r="E107" i="13"/>
  <c r="F107" i="13" s="1"/>
  <c r="E92" i="2" l="1"/>
  <c r="K39" i="49"/>
  <c r="D40" i="49" s="1"/>
  <c r="H40" i="49" s="1"/>
  <c r="I53" i="47"/>
  <c r="I55" i="47" s="1"/>
  <c r="B85" i="2"/>
  <c r="B86" i="2" s="1"/>
  <c r="I53" i="50"/>
  <c r="I55" i="50" s="1"/>
  <c r="K40" i="47"/>
  <c r="D41" i="47" s="1"/>
  <c r="H40" i="47"/>
  <c r="F44" i="47"/>
  <c r="A92" i="41"/>
  <c r="K40" i="50"/>
  <c r="D41" i="50" s="1"/>
  <c r="H40" i="50"/>
  <c r="F45" i="50"/>
  <c r="I53" i="49"/>
  <c r="I55" i="49" s="1"/>
  <c r="D108" i="13"/>
  <c r="G107" i="13"/>
  <c r="D112" i="20"/>
  <c r="K40" i="49" l="1"/>
  <c r="D41" i="49" s="1"/>
  <c r="H41" i="49" s="1"/>
  <c r="E93" i="2"/>
  <c r="K41" i="50"/>
  <c r="D42" i="50" s="1"/>
  <c r="H41" i="50"/>
  <c r="B87" i="2"/>
  <c r="B89" i="2" s="1"/>
  <c r="B90" i="2" s="1"/>
  <c r="E94" i="2"/>
  <c r="E87" i="2"/>
  <c r="K41" i="47"/>
  <c r="D42" i="47" s="1"/>
  <c r="H41" i="47"/>
  <c r="F45" i="47"/>
  <c r="A93" i="41"/>
  <c r="A94" i="41" s="1"/>
  <c r="F46" i="50"/>
  <c r="E112" i="20"/>
  <c r="F112" i="20" s="1"/>
  <c r="E108" i="13"/>
  <c r="F108" i="13" s="1"/>
  <c r="K41" i="49" l="1"/>
  <c r="D42" i="49" s="1"/>
  <c r="K42" i="49" s="1"/>
  <c r="D43" i="49" s="1"/>
  <c r="D113" i="20"/>
  <c r="E113" i="20" s="1"/>
  <c r="F113" i="20" s="1"/>
  <c r="D114" i="20" s="1"/>
  <c r="B91" i="2"/>
  <c r="B94" i="41"/>
  <c r="K42" i="50"/>
  <c r="D43" i="50" s="1"/>
  <c r="H42" i="50"/>
  <c r="K42" i="47"/>
  <c r="D43" i="47" s="1"/>
  <c r="H42" i="47"/>
  <c r="F46" i="47"/>
  <c r="A95" i="41"/>
  <c r="B95" i="41"/>
  <c r="F47" i="50"/>
  <c r="D109" i="13"/>
  <c r="G108" i="13"/>
  <c r="H42" i="49" l="1"/>
  <c r="A97" i="41"/>
  <c r="C64" i="20"/>
  <c r="C64" i="13"/>
  <c r="B92" i="2"/>
  <c r="B93" i="2" s="1"/>
  <c r="B94" i="2" s="1"/>
  <c r="F47" i="47"/>
  <c r="K43" i="49"/>
  <c r="D44" i="49" s="1"/>
  <c r="H43" i="49"/>
  <c r="F48" i="50"/>
  <c r="K43" i="47"/>
  <c r="D44" i="47" s="1"/>
  <c r="H43" i="47"/>
  <c r="K43" i="50"/>
  <c r="D44" i="50" s="1"/>
  <c r="H43" i="50"/>
  <c r="E114" i="20"/>
  <c r="F114" i="20" s="1"/>
  <c r="E109" i="13"/>
  <c r="F109" i="13" s="1"/>
  <c r="D110" i="13" s="1"/>
  <c r="G109" i="13" l="1"/>
  <c r="K44" i="47"/>
  <c r="D45" i="47" s="1"/>
  <c r="H44" i="47"/>
  <c r="B95" i="2"/>
  <c r="E95" i="2"/>
  <c r="F49" i="50"/>
  <c r="K44" i="49"/>
  <c r="D45" i="49" s="1"/>
  <c r="H44" i="49"/>
  <c r="A98" i="41"/>
  <c r="F48" i="47"/>
  <c r="K44" i="50"/>
  <c r="D45" i="50" s="1"/>
  <c r="H44" i="50"/>
  <c r="D115" i="20"/>
  <c r="E110" i="13"/>
  <c r="F110" i="13" s="1"/>
  <c r="K45" i="49" l="1"/>
  <c r="D46" i="49" s="1"/>
  <c r="H45" i="49"/>
  <c r="K45" i="50"/>
  <c r="D46" i="50" s="1"/>
  <c r="H45" i="50"/>
  <c r="F50" i="50"/>
  <c r="F49" i="47"/>
  <c r="B98" i="2"/>
  <c r="B99" i="2" s="1"/>
  <c r="C46" i="11"/>
  <c r="A99" i="41"/>
  <c r="A100" i="41" s="1"/>
  <c r="K45" i="47"/>
  <c r="D46" i="47" s="1"/>
  <c r="H45" i="47"/>
  <c r="D111" i="13"/>
  <c r="G110" i="13"/>
  <c r="E115" i="20"/>
  <c r="F115" i="20" s="1"/>
  <c r="B100" i="41" l="1"/>
  <c r="K46" i="47"/>
  <c r="D47" i="47" s="1"/>
  <c r="H46" i="47"/>
  <c r="A101" i="41"/>
  <c r="B103" i="41"/>
  <c r="B101" i="41"/>
  <c r="F50" i="47"/>
  <c r="K46" i="50"/>
  <c r="D47" i="50" s="1"/>
  <c r="H46" i="50"/>
  <c r="B100" i="2"/>
  <c r="B101" i="2" s="1"/>
  <c r="B102" i="2" s="1"/>
  <c r="B103" i="2" s="1"/>
  <c r="B104" i="2" s="1"/>
  <c r="K46" i="49"/>
  <c r="D47" i="49" s="1"/>
  <c r="H46" i="49"/>
  <c r="D116" i="20"/>
  <c r="E111" i="13"/>
  <c r="F111" i="13" s="1"/>
  <c r="K47" i="49" l="1"/>
  <c r="D48" i="49" s="1"/>
  <c r="H47" i="49"/>
  <c r="B106" i="2"/>
  <c r="B108" i="2" s="1"/>
  <c r="B110" i="2" s="1"/>
  <c r="B112" i="2" s="1"/>
  <c r="B113" i="2" s="1"/>
  <c r="E104" i="2"/>
  <c r="A103" i="41"/>
  <c r="B104" i="41"/>
  <c r="K47" i="50"/>
  <c r="D48" i="50" s="1"/>
  <c r="H47" i="50"/>
  <c r="K47" i="47"/>
  <c r="D48" i="47" s="1"/>
  <c r="H47" i="47"/>
  <c r="D112" i="13"/>
  <c r="G111" i="13"/>
  <c r="E116" i="20"/>
  <c r="F116" i="20" s="1"/>
  <c r="E246" i="2" l="1"/>
  <c r="A104" i="41"/>
  <c r="K48" i="47"/>
  <c r="D49" i="47" s="1"/>
  <c r="H48" i="47"/>
  <c r="K48" i="49"/>
  <c r="D49" i="49" s="1"/>
  <c r="H48" i="49"/>
  <c r="B114" i="2"/>
  <c r="B115" i="2" s="1"/>
  <c r="B116" i="2" s="1"/>
  <c r="B117" i="2" s="1"/>
  <c r="B118" i="2" s="1"/>
  <c r="B119" i="2" s="1"/>
  <c r="B120" i="2" s="1"/>
  <c r="B121" i="2" s="1"/>
  <c r="B123" i="2" s="1"/>
  <c r="K48" i="50"/>
  <c r="D49" i="50" s="1"/>
  <c r="H48" i="50"/>
  <c r="D117" i="20"/>
  <c r="E112" i="13"/>
  <c r="F112" i="13" s="1"/>
  <c r="D113" i="13" l="1"/>
  <c r="E113" i="13" s="1"/>
  <c r="F113" i="13" s="1"/>
  <c r="D114" i="13" s="1"/>
  <c r="G112" i="13"/>
  <c r="B125" i="2"/>
  <c r="D299" i="2"/>
  <c r="K49" i="49"/>
  <c r="D50" i="49" s="1"/>
  <c r="H49" i="49"/>
  <c r="K49" i="47"/>
  <c r="D50" i="47" s="1"/>
  <c r="H49" i="47"/>
  <c r="D125" i="2"/>
  <c r="K49" i="50"/>
  <c r="D50" i="50" s="1"/>
  <c r="H49" i="50"/>
  <c r="B105" i="41"/>
  <c r="A105" i="41"/>
  <c r="E121" i="2"/>
  <c r="E117" i="20"/>
  <c r="F117" i="20" s="1"/>
  <c r="K50" i="49" l="1"/>
  <c r="H50" i="49"/>
  <c r="H51" i="49" s="1"/>
  <c r="B140" i="2"/>
  <c r="C28" i="13"/>
  <c r="C28" i="20"/>
  <c r="K50" i="47"/>
  <c r="H50" i="47"/>
  <c r="H51" i="47" s="1"/>
  <c r="K50" i="50"/>
  <c r="H50" i="50"/>
  <c r="H51" i="50" s="1"/>
  <c r="D118" i="20"/>
  <c r="E118" i="20" s="1"/>
  <c r="G113" i="13"/>
  <c r="E114" i="13"/>
  <c r="F114" i="13" s="1"/>
  <c r="B141" i="2" l="1"/>
  <c r="B142" i="2" s="1"/>
  <c r="B143" i="2" s="1"/>
  <c r="B144" i="2" s="1"/>
  <c r="E145" i="2" s="1"/>
  <c r="F118" i="20"/>
  <c r="D115" i="13"/>
  <c r="G114" i="13"/>
  <c r="B145" i="2" l="1"/>
  <c r="B146" i="2" s="1"/>
  <c r="D119" i="20"/>
  <c r="E115" i="13"/>
  <c r="F115" i="13" s="1"/>
  <c r="E44" i="2" l="1"/>
  <c r="D294" i="2"/>
  <c r="B147" i="2"/>
  <c r="B148" i="2" s="1"/>
  <c r="E119" i="20"/>
  <c r="F119" i="20" s="1"/>
  <c r="D116" i="13"/>
  <c r="G115" i="13"/>
  <c r="E149" i="2" l="1"/>
  <c r="D120" i="20"/>
  <c r="E120" i="20" s="1"/>
  <c r="F120" i="20" s="1"/>
  <c r="D296" i="2"/>
  <c r="B149" i="2"/>
  <c r="E116" i="13"/>
  <c r="F116" i="13" s="1"/>
  <c r="D293" i="2" l="1"/>
  <c r="E113" i="2"/>
  <c r="B151" i="2"/>
  <c r="D121" i="20"/>
  <c r="D117" i="13"/>
  <c r="G116" i="13"/>
  <c r="B152" i="2" l="1"/>
  <c r="E121" i="20"/>
  <c r="F121" i="20" s="1"/>
  <c r="D122" i="20" s="1"/>
  <c r="E122" i="20" s="1"/>
  <c r="F122" i="20" s="1"/>
  <c r="D123" i="20" s="1"/>
  <c r="E117" i="13"/>
  <c r="F117" i="13" s="1"/>
  <c r="D118" i="13" s="1"/>
  <c r="B153" i="2" l="1"/>
  <c r="B154" i="2" s="1"/>
  <c r="B155" i="2" s="1"/>
  <c r="B156" i="2" s="1"/>
  <c r="B157" i="2" s="1"/>
  <c r="B158" i="2" s="1"/>
  <c r="E160" i="2"/>
  <c r="E118" i="13"/>
  <c r="F118" i="13" s="1"/>
  <c r="G117" i="13"/>
  <c r="E123" i="20"/>
  <c r="F123" i="20" s="1"/>
  <c r="D124" i="20" l="1"/>
  <c r="E124" i="20" s="1"/>
  <c r="F124" i="20" s="1"/>
  <c r="B159" i="2"/>
  <c r="E159" i="2"/>
  <c r="D119" i="13"/>
  <c r="G118" i="13"/>
  <c r="D125" i="20" l="1"/>
  <c r="E125" i="20" s="1"/>
  <c r="F125" i="20" s="1"/>
  <c r="B160" i="2"/>
  <c r="B161" i="2" s="1"/>
  <c r="B162" i="2" s="1"/>
  <c r="B163" i="2" s="1"/>
  <c r="B164" i="2" s="1"/>
  <c r="B165" i="2" s="1"/>
  <c r="E119" i="13"/>
  <c r="F119" i="13" s="1"/>
  <c r="D126" i="20" l="1"/>
  <c r="E126" i="20" s="1"/>
  <c r="F126" i="20" s="1"/>
  <c r="E165" i="2"/>
  <c r="B167" i="2"/>
  <c r="D297" i="2"/>
  <c r="E167" i="2"/>
  <c r="D120" i="13"/>
  <c r="G119" i="13"/>
  <c r="B168" i="2" l="1"/>
  <c r="E169" i="2" s="1"/>
  <c r="D127" i="20"/>
  <c r="E120" i="13"/>
  <c r="F120" i="13" s="1"/>
  <c r="C48" i="13" l="1"/>
  <c r="D310" i="2"/>
  <c r="D312" i="2"/>
  <c r="E30" i="2"/>
  <c r="B169" i="2"/>
  <c r="C48" i="20"/>
  <c r="D307" i="2"/>
  <c r="D121" i="13"/>
  <c r="G120" i="13"/>
  <c r="E127" i="20"/>
  <c r="F127" i="20" s="1"/>
  <c r="B171" i="2" l="1"/>
  <c r="B172" i="2" s="1"/>
  <c r="D128" i="20"/>
  <c r="E121" i="13"/>
  <c r="F121" i="13" s="1"/>
  <c r="B173" i="2" l="1"/>
  <c r="B174" i="2" s="1"/>
  <c r="D122" i="13"/>
  <c r="G121" i="13"/>
  <c r="E128" i="20"/>
  <c r="F128" i="20" s="1"/>
  <c r="D129" i="20" l="1"/>
  <c r="E129" i="20" s="1"/>
  <c r="F129" i="20" s="1"/>
  <c r="B175" i="2"/>
  <c r="C59" i="13"/>
  <c r="C76" i="13"/>
  <c r="C76" i="20"/>
  <c r="C59" i="20"/>
  <c r="E34" i="2"/>
  <c r="E122" i="13"/>
  <c r="F122" i="13" s="1"/>
  <c r="D130" i="20" l="1"/>
  <c r="E130" i="20" s="1"/>
  <c r="F130" i="20" s="1"/>
  <c r="B176" i="2"/>
  <c r="B177" i="2" s="1"/>
  <c r="D123" i="13"/>
  <c r="E123" i="13" s="1"/>
  <c r="F123" i="13" s="1"/>
  <c r="G122" i="13"/>
  <c r="E177" i="2" l="1"/>
  <c r="B179" i="2"/>
  <c r="B180" i="2" s="1"/>
  <c r="B181" i="2" s="1"/>
  <c r="D124" i="13"/>
  <c r="G123" i="13"/>
  <c r="D131" i="20"/>
  <c r="B182" i="2" l="1"/>
  <c r="B183" i="2" s="1"/>
  <c r="B184" i="2" s="1"/>
  <c r="B185" i="2" s="1"/>
  <c r="B186" i="2" s="1"/>
  <c r="E131" i="20"/>
  <c r="F131" i="20" s="1"/>
  <c r="E124" i="13"/>
  <c r="F124" i="13" s="1"/>
  <c r="B188" i="2" l="1"/>
  <c r="B189" i="2" s="1"/>
  <c r="E186" i="2"/>
  <c r="D125" i="13"/>
  <c r="G124" i="13"/>
  <c r="D132" i="20"/>
  <c r="D193" i="2" l="1"/>
  <c r="B190" i="2"/>
  <c r="E132" i="20"/>
  <c r="F132" i="20" s="1"/>
  <c r="E125" i="13"/>
  <c r="F125" i="13" s="1"/>
  <c r="D133" i="20" l="1"/>
  <c r="C35" i="13"/>
  <c r="C35" i="20"/>
  <c r="B191" i="2"/>
  <c r="B192" i="2" s="1"/>
  <c r="B193" i="2" s="1"/>
  <c r="D126" i="13"/>
  <c r="G125" i="13"/>
  <c r="E133" i="20" l="1"/>
  <c r="F133" i="20" s="1"/>
  <c r="B194" i="2"/>
  <c r="E199" i="2" s="1"/>
  <c r="E126" i="13"/>
  <c r="F126" i="13" s="1"/>
  <c r="D134" i="20" l="1"/>
  <c r="E134" i="20" s="1"/>
  <c r="F134" i="20" s="1"/>
  <c r="D135" i="20" s="1"/>
  <c r="E135" i="20" s="1"/>
  <c r="F135" i="20" s="1"/>
  <c r="D338" i="2"/>
  <c r="B195" i="2"/>
  <c r="D127" i="13"/>
  <c r="G126" i="13"/>
  <c r="B196" i="2" l="1"/>
  <c r="E200" i="2"/>
  <c r="D136" i="20"/>
  <c r="E127" i="13"/>
  <c r="F127" i="13" s="1"/>
  <c r="D128" i="13" s="1"/>
  <c r="B198" i="2" l="1"/>
  <c r="E201" i="2"/>
  <c r="G127" i="13"/>
  <c r="E128" i="13"/>
  <c r="F128" i="13" s="1"/>
  <c r="D129" i="13" s="1"/>
  <c r="E136" i="20"/>
  <c r="F136" i="20" s="1"/>
  <c r="B199" i="2" l="1"/>
  <c r="B200" i="2" s="1"/>
  <c r="B201" i="2" s="1"/>
  <c r="B203" i="2" s="1"/>
  <c r="D137" i="20"/>
  <c r="E129" i="13"/>
  <c r="F129" i="13" s="1"/>
  <c r="D130" i="13" s="1"/>
  <c r="G128" i="13"/>
  <c r="E203" i="2" l="1"/>
  <c r="C50" i="13"/>
  <c r="B205" i="2"/>
  <c r="E37" i="2" s="1"/>
  <c r="C50" i="20"/>
  <c r="E130" i="13"/>
  <c r="F130" i="13" s="1"/>
  <c r="G129" i="13"/>
  <c r="E137" i="20"/>
  <c r="F137" i="20" s="1"/>
  <c r="C49" i="20" l="1"/>
  <c r="B207" i="2"/>
  <c r="C49" i="13"/>
  <c r="E198" i="2"/>
  <c r="D138" i="20"/>
  <c r="D131" i="13"/>
  <c r="G130" i="13"/>
  <c r="D301" i="2" l="1"/>
  <c r="B209" i="2"/>
  <c r="E131" i="13"/>
  <c r="F131" i="13" s="1"/>
  <c r="E138" i="20"/>
  <c r="F138" i="20" s="1"/>
  <c r="D211" i="2" l="1"/>
  <c r="B211" i="2"/>
  <c r="B213" i="2" s="1"/>
  <c r="D139" i="20"/>
  <c r="D132" i="13"/>
  <c r="G131" i="13"/>
  <c r="B226" i="2" l="1"/>
  <c r="E13" i="2"/>
  <c r="D214" i="2"/>
  <c r="E132" i="13"/>
  <c r="F132" i="13" s="1"/>
  <c r="D133" i="13" s="1"/>
  <c r="E139" i="20"/>
  <c r="F139" i="20" s="1"/>
  <c r="D140" i="20" s="1"/>
  <c r="B227" i="2" l="1"/>
  <c r="B228" i="2" s="1"/>
  <c r="B229" i="2" s="1"/>
  <c r="E140" i="20"/>
  <c r="F140" i="20" s="1"/>
  <c r="D141" i="20" s="1"/>
  <c r="E133" i="13"/>
  <c r="F133" i="13" s="1"/>
  <c r="G132" i="13"/>
  <c r="E229" i="2" l="1"/>
  <c r="B231" i="2"/>
  <c r="B233" i="2" s="1"/>
  <c r="B234" i="2" s="1"/>
  <c r="E231" i="2"/>
  <c r="E68" i="2"/>
  <c r="D134" i="13"/>
  <c r="G133" i="13"/>
  <c r="E141" i="20"/>
  <c r="F141" i="20" s="1"/>
  <c r="B235" i="2" l="1"/>
  <c r="B236" i="2" s="1"/>
  <c r="B237" i="2" s="1"/>
  <c r="B238" i="2" s="1"/>
  <c r="B239" i="2" s="1"/>
  <c r="B241" i="2" s="1"/>
  <c r="B244" i="2" s="1"/>
  <c r="B245" i="2" s="1"/>
  <c r="D142" i="20"/>
  <c r="E134" i="13"/>
  <c r="F134" i="13" s="1"/>
  <c r="E239" i="2" l="1"/>
  <c r="B246" i="2"/>
  <c r="B247" i="2" s="1"/>
  <c r="B248" i="2" s="1"/>
  <c r="D135" i="13"/>
  <c r="G134" i="13"/>
  <c r="E142" i="20"/>
  <c r="F142" i="20" s="1"/>
  <c r="D143" i="20" l="1"/>
  <c r="E143" i="20" s="1"/>
  <c r="F143" i="20" s="1"/>
  <c r="B249" i="2"/>
  <c r="E135" i="13"/>
  <c r="F135" i="13" s="1"/>
  <c r="D256" i="2" l="1"/>
  <c r="B250" i="2"/>
  <c r="B251" i="2" s="1"/>
  <c r="B252" i="2" s="1"/>
  <c r="D136" i="13"/>
  <c r="E136" i="13" s="1"/>
  <c r="F136" i="13" s="1"/>
  <c r="G135" i="13"/>
  <c r="D144" i="20"/>
  <c r="E252" i="2" l="1"/>
  <c r="D257" i="2"/>
  <c r="B254" i="2"/>
  <c r="B255" i="2" s="1"/>
  <c r="D137" i="13"/>
  <c r="G136" i="13"/>
  <c r="E144" i="20"/>
  <c r="F144" i="20" s="1"/>
  <c r="D359" i="2" l="1"/>
  <c r="B256" i="2"/>
  <c r="B257" i="2" s="1"/>
  <c r="D258" i="2" s="1"/>
  <c r="D145" i="20"/>
  <c r="E137" i="13"/>
  <c r="F137" i="13" s="1"/>
  <c r="C16" i="13" l="1"/>
  <c r="C16" i="20"/>
  <c r="B258" i="2"/>
  <c r="C19" i="13"/>
  <c r="C19" i="20"/>
  <c r="D138" i="13"/>
  <c r="G137" i="13"/>
  <c r="E145" i="20"/>
  <c r="F145" i="20" s="1"/>
  <c r="B260" i="2" l="1"/>
  <c r="B77" i="41"/>
  <c r="E205" i="2"/>
  <c r="D191" i="2"/>
  <c r="D146" i="20"/>
  <c r="E138" i="13"/>
  <c r="F138" i="13" s="1"/>
  <c r="D139" i="13" l="1"/>
  <c r="G138" i="13"/>
  <c r="E146" i="20"/>
  <c r="F146" i="20" s="1"/>
  <c r="D147" i="20" l="1"/>
  <c r="E139" i="13"/>
  <c r="F139" i="13" s="1"/>
  <c r="D140" i="13" l="1"/>
  <c r="G139" i="13"/>
  <c r="E147" i="20"/>
  <c r="F147" i="20" s="1"/>
  <c r="D148" i="20" l="1"/>
  <c r="E140" i="13"/>
  <c r="F140" i="13" s="1"/>
  <c r="D141" i="13" l="1"/>
  <c r="G140" i="13"/>
  <c r="E148" i="20"/>
  <c r="F148" i="20" s="1"/>
  <c r="D149" i="20" s="1"/>
  <c r="E149" i="20" l="1"/>
  <c r="F149" i="20" s="1"/>
  <c r="E141" i="13"/>
  <c r="F141" i="13" s="1"/>
  <c r="D142" i="13" l="1"/>
  <c r="G141" i="13"/>
  <c r="D150" i="20"/>
  <c r="E150" i="20" l="1"/>
  <c r="F150" i="20" s="1"/>
  <c r="D151" i="20" s="1"/>
  <c r="E142" i="13"/>
  <c r="F142" i="13" s="1"/>
  <c r="D143" i="13" l="1"/>
  <c r="G142" i="13"/>
  <c r="E151" i="20"/>
  <c r="F151" i="20" s="1"/>
  <c r="D152" i="20" s="1"/>
  <c r="E152" i="20" l="1"/>
  <c r="F152" i="20" s="1"/>
  <c r="E143" i="13"/>
  <c r="F143" i="13" s="1"/>
  <c r="D153" i="20" l="1"/>
  <c r="D144" i="13"/>
  <c r="G143" i="13"/>
  <c r="E144" i="13" l="1"/>
  <c r="F144" i="13" s="1"/>
  <c r="E153" i="20"/>
  <c r="F153" i="20" s="1"/>
  <c r="D154" i="20" l="1"/>
  <c r="D145" i="13"/>
  <c r="G144" i="13"/>
  <c r="E145" i="13" l="1"/>
  <c r="F145" i="13" s="1"/>
  <c r="D146" i="13" s="1"/>
  <c r="E154" i="20"/>
  <c r="F154" i="20" s="1"/>
  <c r="D155" i="20" l="1"/>
  <c r="E155" i="20" s="1"/>
  <c r="F155" i="20" s="1"/>
  <c r="G145" i="13"/>
  <c r="E146" i="13"/>
  <c r="F146" i="13" s="1"/>
  <c r="D147" i="13" s="1"/>
  <c r="G146" i="13" l="1"/>
  <c r="D156" i="20"/>
  <c r="E147" i="13"/>
  <c r="F147" i="13" s="1"/>
  <c r="D148" i="13" l="1"/>
  <c r="G147" i="13"/>
  <c r="E156" i="20"/>
  <c r="F156" i="20" s="1"/>
  <c r="D157" i="20" l="1"/>
  <c r="E157" i="20" s="1"/>
  <c r="F157" i="20" s="1"/>
  <c r="E148" i="13"/>
  <c r="F148" i="13" s="1"/>
  <c r="D149" i="13" s="1"/>
  <c r="D158" i="20" l="1"/>
  <c r="E149" i="13"/>
  <c r="F149" i="13" s="1"/>
  <c r="G148" i="13"/>
  <c r="D150" i="13" l="1"/>
  <c r="G149" i="13"/>
  <c r="E158" i="20"/>
  <c r="F158" i="20" s="1"/>
  <c r="D159" i="20" l="1"/>
  <c r="E159" i="20" s="1"/>
  <c r="F159" i="20" s="1"/>
  <c r="E150" i="13"/>
  <c r="F150" i="13" s="1"/>
  <c r="D151" i="13" l="1"/>
  <c r="G150" i="13"/>
  <c r="E151" i="13" l="1"/>
  <c r="F151" i="13" s="1"/>
  <c r="D152" i="13" l="1"/>
  <c r="G151" i="13"/>
  <c r="E152" i="13" l="1"/>
  <c r="F152" i="13" s="1"/>
  <c r="D153" i="13" s="1"/>
  <c r="E153" i="13" l="1"/>
  <c r="F153" i="13" s="1"/>
  <c r="D154" i="13" s="1"/>
  <c r="G152" i="13"/>
  <c r="E154" i="13" l="1"/>
  <c r="F154" i="13" s="1"/>
  <c r="G153" i="13"/>
  <c r="D155" i="13" l="1"/>
  <c r="G154" i="13"/>
  <c r="E155" i="13" l="1"/>
  <c r="F155" i="13" s="1"/>
  <c r="D156" i="13" l="1"/>
  <c r="G155" i="13"/>
  <c r="E156" i="13" l="1"/>
  <c r="F156" i="13" s="1"/>
  <c r="D157" i="13" l="1"/>
  <c r="E157" i="13" s="1"/>
  <c r="F157" i="13" s="1"/>
  <c r="G156" i="13"/>
  <c r="D158" i="13" l="1"/>
  <c r="G157" i="13"/>
  <c r="E158" i="13" l="1"/>
  <c r="F158" i="13" s="1"/>
  <c r="D159" i="13" l="1"/>
  <c r="G158" i="13"/>
  <c r="E159" i="13" l="1"/>
  <c r="F159" i="13" s="1"/>
  <c r="D160" i="13" l="1"/>
  <c r="G159" i="13"/>
  <c r="E160" i="13" l="1"/>
  <c r="F160" i="13" s="1"/>
  <c r="D161" i="13" l="1"/>
  <c r="G160" i="13"/>
  <c r="E161" i="13" l="1"/>
  <c r="E162" i="13" s="1"/>
  <c r="F161" i="13" l="1"/>
  <c r="G161" i="13" s="1"/>
  <c r="G47" i="48" l="1"/>
  <c r="C24" i="48" s="1"/>
  <c r="I47" i="48"/>
  <c r="C26" i="48" s="1"/>
  <c r="H47" i="48"/>
  <c r="C25" i="48" s="1"/>
  <c r="J47" i="48"/>
  <c r="C27" i="48" s="1"/>
  <c r="D47" i="48"/>
  <c r="C22" i="48" s="1"/>
  <c r="F47" i="48"/>
  <c r="C23" i="48" s="1"/>
  <c r="G153" i="2"/>
  <c r="G159" i="2" s="1"/>
  <c r="L159" i="2" l="1"/>
  <c r="C28" i="48"/>
  <c r="D25" i="48" s="1"/>
  <c r="E25" i="48" s="1"/>
  <c r="K47" i="48"/>
  <c r="K43" i="48"/>
  <c r="D22" i="48" l="1"/>
  <c r="E22" i="48" s="1"/>
  <c r="D26" i="48"/>
  <c r="E26" i="48" s="1"/>
  <c r="D24" i="48"/>
  <c r="E24" i="48" s="1"/>
  <c r="D23" i="48"/>
  <c r="E23" i="48" s="1"/>
  <c r="D27" i="48"/>
  <c r="E27" i="48" s="1"/>
  <c r="G164" i="2" l="1"/>
  <c r="L164" i="2" s="1"/>
  <c r="L165" i="2" l="1"/>
  <c r="L167" i="2" s="1"/>
  <c r="G165" i="2"/>
  <c r="G167" i="2" s="1"/>
  <c r="G169" i="2" s="1"/>
  <c r="L169" i="2" l="1"/>
  <c r="G27" i="48" l="1"/>
  <c r="H27" i="48"/>
  <c r="G26" i="48" l="1"/>
  <c r="H26" i="48"/>
  <c r="G24" i="48"/>
  <c r="H24" i="48"/>
  <c r="I24" i="48" s="1"/>
  <c r="G25" i="48"/>
  <c r="H25" i="48"/>
  <c r="G23" i="48"/>
  <c r="H23" i="48"/>
  <c r="G22" i="48"/>
  <c r="H22" i="48"/>
  <c r="I27" i="48"/>
  <c r="G28" i="48" l="1"/>
  <c r="I25" i="48"/>
  <c r="I26" i="48"/>
  <c r="H28" i="48"/>
  <c r="I23" i="48"/>
  <c r="I22" i="48"/>
  <c r="I28" i="48" l="1"/>
  <c r="J66" i="39" l="1"/>
  <c r="J77" i="39" s="1"/>
  <c r="R77" i="39"/>
  <c r="I66" i="39" l="1"/>
  <c r="I77" i="39" s="1"/>
  <c r="Q77" i="39"/>
  <c r="D66" i="39"/>
  <c r="K66" i="39"/>
  <c r="K77" i="39" s="1"/>
  <c r="S77" i="39"/>
  <c r="E43" i="5" l="1"/>
  <c r="I43" i="5" s="1"/>
  <c r="G66" i="39"/>
  <c r="F67" i="39"/>
  <c r="E41" i="5"/>
  <c r="E44" i="5" l="1"/>
  <c r="I41" i="5"/>
  <c r="D67" i="39"/>
  <c r="F77" i="39"/>
  <c r="G67" i="39" l="1"/>
  <c r="G77" i="39" s="1"/>
  <c r="D77" i="39"/>
  <c r="G102" i="2"/>
  <c r="G104" i="2" s="1"/>
  <c r="G125" i="2" s="1"/>
  <c r="G205" i="2" s="1"/>
  <c r="G198" i="2" s="1"/>
  <c r="G203" i="2" s="1"/>
  <c r="G213" i="2" s="1"/>
  <c r="I44" i="5"/>
  <c r="L102" i="2" s="1"/>
  <c r="L104" i="2" s="1"/>
  <c r="L125" i="2" s="1"/>
  <c r="F28" i="20" l="1"/>
  <c r="F30" i="20" s="1"/>
  <c r="L205" i="2"/>
  <c r="E28" i="13"/>
  <c r="E30" i="13" s="1"/>
  <c r="E34" i="13" l="1"/>
  <c r="E36" i="13" s="1"/>
  <c r="E40" i="13" s="1"/>
  <c r="F57" i="13" s="1"/>
  <c r="F56" i="13"/>
  <c r="F49" i="13"/>
  <c r="L198" i="2"/>
  <c r="L203" i="2" s="1"/>
  <c r="L213" i="2" s="1"/>
  <c r="L13" i="2" s="1"/>
  <c r="G49" i="20"/>
  <c r="G56" i="20"/>
  <c r="F34" i="20"/>
  <c r="F36" i="20" s="1"/>
  <c r="F40" i="20" s="1"/>
  <c r="G57" i="20" s="1"/>
  <c r="L34" i="2" l="1"/>
  <c r="F47" i="13"/>
  <c r="G47" i="20"/>
  <c r="L37" i="2"/>
  <c r="L30" i="2"/>
  <c r="L31" i="2" s="1"/>
  <c r="L20" i="2"/>
  <c r="F50" i="13"/>
  <c r="G50" i="20"/>
  <c r="G51" i="20" l="1"/>
  <c r="G55" i="20" s="1"/>
  <c r="G58" i="20" s="1"/>
  <c r="F51" i="13"/>
  <c r="F55" i="13" s="1"/>
  <c r="F58" i="13" s="1"/>
  <c r="F70" i="13"/>
  <c r="J97" i="13" s="1"/>
  <c r="G70" i="20"/>
  <c r="I95" i="20" s="1"/>
  <c r="G134" i="20" l="1"/>
  <c r="G101" i="20"/>
  <c r="G133" i="20"/>
  <c r="G151" i="20"/>
  <c r="G128" i="20"/>
  <c r="G112" i="20"/>
  <c r="G156" i="20"/>
  <c r="G149" i="20"/>
  <c r="G132" i="20"/>
  <c r="G155" i="20"/>
  <c r="G120" i="20"/>
  <c r="G111" i="20"/>
  <c r="G126" i="20"/>
  <c r="G143" i="20"/>
  <c r="G118" i="20"/>
  <c r="G103" i="20"/>
  <c r="G122" i="20"/>
  <c r="G104" i="20"/>
  <c r="G142" i="20"/>
  <c r="G123" i="20"/>
  <c r="G140" i="20"/>
  <c r="G159" i="20"/>
  <c r="G114" i="20"/>
  <c r="G137" i="20"/>
  <c r="G157" i="20"/>
  <c r="I96" i="20"/>
  <c r="G105" i="20"/>
  <c r="N87" i="20" s="1"/>
  <c r="M26" i="20" s="1"/>
  <c r="G108" i="20"/>
  <c r="G135" i="20"/>
  <c r="G125" i="20"/>
  <c r="G139" i="20"/>
  <c r="G117" i="20"/>
  <c r="G146" i="20"/>
  <c r="G121" i="20"/>
  <c r="G115" i="20"/>
  <c r="G141" i="20"/>
  <c r="G107" i="20"/>
  <c r="G127" i="20"/>
  <c r="G138" i="20"/>
  <c r="G116" i="20"/>
  <c r="G136" i="20"/>
  <c r="G131" i="20"/>
  <c r="G124" i="20"/>
  <c r="G129" i="20"/>
  <c r="G158" i="20"/>
  <c r="G154" i="20"/>
  <c r="G150" i="20"/>
  <c r="G147" i="20"/>
  <c r="G153" i="20"/>
  <c r="G130" i="20"/>
  <c r="G113" i="20"/>
  <c r="G148" i="20"/>
  <c r="G110" i="20"/>
  <c r="G152" i="20"/>
  <c r="G106" i="20"/>
  <c r="G145" i="20"/>
  <c r="G144" i="20"/>
  <c r="G109" i="20"/>
  <c r="G119" i="20"/>
  <c r="G102" i="20"/>
  <c r="G100" i="20"/>
  <c r="H114" i="13"/>
  <c r="H141" i="13"/>
  <c r="H116" i="13"/>
  <c r="H104" i="13"/>
  <c r="M104" i="13" s="1"/>
  <c r="H142" i="13"/>
  <c r="H128" i="13"/>
  <c r="H145" i="13"/>
  <c r="H117" i="13"/>
  <c r="H138" i="13"/>
  <c r="H150" i="13"/>
  <c r="H131" i="13"/>
  <c r="H147" i="13"/>
  <c r="H139" i="13"/>
  <c r="H153" i="13"/>
  <c r="H136" i="13"/>
  <c r="H129" i="13"/>
  <c r="H105" i="13"/>
  <c r="M105" i="13" s="1"/>
  <c r="H149" i="13"/>
  <c r="H123" i="13"/>
  <c r="H148" i="13"/>
  <c r="H102" i="13"/>
  <c r="H157" i="13"/>
  <c r="H154" i="13"/>
  <c r="H125" i="13"/>
  <c r="H103" i="13"/>
  <c r="M103" i="13" s="1"/>
  <c r="H132" i="13"/>
  <c r="H134" i="13"/>
  <c r="H106" i="13"/>
  <c r="M106" i="13" s="1"/>
  <c r="H152" i="13"/>
  <c r="H115" i="13"/>
  <c r="H112" i="13"/>
  <c r="H122" i="13"/>
  <c r="H113" i="13"/>
  <c r="H124" i="13"/>
  <c r="H161" i="13"/>
  <c r="H120" i="13"/>
  <c r="H151" i="13"/>
  <c r="J98" i="13"/>
  <c r="H121" i="13"/>
  <c r="H158" i="13"/>
  <c r="H109" i="13"/>
  <c r="M109" i="13" s="1"/>
  <c r="H155" i="13"/>
  <c r="H159" i="13"/>
  <c r="H108" i="13"/>
  <c r="M108" i="13" s="1"/>
  <c r="H107" i="13"/>
  <c r="M107" i="13" s="1"/>
  <c r="H135" i="13"/>
  <c r="H130" i="13"/>
  <c r="H111" i="13"/>
  <c r="H144" i="13"/>
  <c r="H118" i="13"/>
  <c r="H127" i="13"/>
  <c r="H156" i="13"/>
  <c r="H133" i="13"/>
  <c r="H110" i="13"/>
  <c r="M110" i="13" s="1"/>
  <c r="H126" i="13"/>
  <c r="H146" i="13"/>
  <c r="H119" i="13"/>
  <c r="H160" i="13"/>
  <c r="H143" i="13"/>
  <c r="H137" i="13"/>
  <c r="H140" i="13"/>
  <c r="F65" i="13"/>
  <c r="F66" i="13" s="1"/>
  <c r="F60" i="13"/>
  <c r="F68" i="13" s="1"/>
  <c r="F69" i="13" s="1"/>
  <c r="F71" i="13" s="1"/>
  <c r="G60" i="20"/>
  <c r="G68" i="20" s="1"/>
  <c r="G69" i="20" s="1"/>
  <c r="G71" i="20" s="1"/>
  <c r="G65" i="20"/>
  <c r="G66" i="20" s="1"/>
  <c r="M111" i="13" l="1"/>
  <c r="M91" i="13"/>
  <c r="G160" i="20"/>
  <c r="I113" i="13"/>
  <c r="J113" i="13" s="1"/>
  <c r="I139" i="13"/>
  <c r="J139" i="13" s="1"/>
  <c r="I110" i="13"/>
  <c r="I107" i="13"/>
  <c r="I153" i="13"/>
  <c r="J153" i="13" s="1"/>
  <c r="I146" i="13"/>
  <c r="J146" i="13" s="1"/>
  <c r="I150" i="13"/>
  <c r="J150" i="13" s="1"/>
  <c r="I135" i="13"/>
  <c r="J135" i="13" s="1"/>
  <c r="I154" i="13"/>
  <c r="J154" i="13" s="1"/>
  <c r="I151" i="13"/>
  <c r="J151" i="13" s="1"/>
  <c r="I128" i="13"/>
  <c r="J128" i="13" s="1"/>
  <c r="I106" i="13"/>
  <c r="I126" i="13"/>
  <c r="J126" i="13" s="1"/>
  <c r="I103" i="13"/>
  <c r="I145" i="13"/>
  <c r="J145" i="13" s="1"/>
  <c r="I144" i="13"/>
  <c r="J144" i="13" s="1"/>
  <c r="I105" i="13"/>
  <c r="I157" i="13"/>
  <c r="J157" i="13" s="1"/>
  <c r="I121" i="13"/>
  <c r="J121" i="13" s="1"/>
  <c r="I132" i="13"/>
  <c r="J132" i="13" s="1"/>
  <c r="I129" i="13"/>
  <c r="J129" i="13" s="1"/>
  <c r="I104" i="13"/>
  <c r="I152" i="13"/>
  <c r="J152" i="13" s="1"/>
  <c r="I118" i="13"/>
  <c r="J118" i="13" s="1"/>
  <c r="I109" i="13"/>
  <c r="I131" i="13"/>
  <c r="J131" i="13" s="1"/>
  <c r="I117" i="13"/>
  <c r="J117" i="13" s="1"/>
  <c r="I155" i="13"/>
  <c r="J155" i="13" s="1"/>
  <c r="I147" i="13"/>
  <c r="J147" i="13" s="1"/>
  <c r="I160" i="13"/>
  <c r="J160" i="13" s="1"/>
  <c r="I130" i="13"/>
  <c r="J130" i="13" s="1"/>
  <c r="I159" i="13"/>
  <c r="J159" i="13" s="1"/>
  <c r="I149" i="13"/>
  <c r="J149" i="13" s="1"/>
  <c r="I108" i="13"/>
  <c r="I114" i="13"/>
  <c r="J114" i="13" s="1"/>
  <c r="I116" i="13"/>
  <c r="J116" i="13" s="1"/>
  <c r="I148" i="13"/>
  <c r="J148" i="13" s="1"/>
  <c r="I122" i="13"/>
  <c r="J122" i="13" s="1"/>
  <c r="I143" i="13"/>
  <c r="J143" i="13" s="1"/>
  <c r="I119" i="13"/>
  <c r="J119" i="13" s="1"/>
  <c r="I102" i="13"/>
  <c r="I141" i="13"/>
  <c r="J141" i="13" s="1"/>
  <c r="I142" i="13"/>
  <c r="J142" i="13" s="1"/>
  <c r="I156" i="13"/>
  <c r="J156" i="13" s="1"/>
  <c r="I138" i="13"/>
  <c r="J138" i="13" s="1"/>
  <c r="I125" i="13"/>
  <c r="J125" i="13" s="1"/>
  <c r="I123" i="13"/>
  <c r="J123" i="13" s="1"/>
  <c r="I115" i="13"/>
  <c r="J115" i="13" s="1"/>
  <c r="I127" i="13"/>
  <c r="J127" i="13" s="1"/>
  <c r="I140" i="13"/>
  <c r="J140" i="13" s="1"/>
  <c r="I136" i="13"/>
  <c r="J136" i="13" s="1"/>
  <c r="I137" i="13"/>
  <c r="J137" i="13" s="1"/>
  <c r="I161" i="13"/>
  <c r="J161" i="13" s="1"/>
  <c r="I111" i="13"/>
  <c r="I124" i="13"/>
  <c r="J124" i="13" s="1"/>
  <c r="I134" i="13"/>
  <c r="J134" i="13" s="1"/>
  <c r="I112" i="13"/>
  <c r="J112" i="13" s="1"/>
  <c r="I133" i="13"/>
  <c r="J133" i="13" s="1"/>
  <c r="I120" i="13"/>
  <c r="J120" i="13" s="1"/>
  <c r="I158" i="13"/>
  <c r="J158" i="13" s="1"/>
  <c r="H162" i="13"/>
  <c r="M102" i="13"/>
  <c r="H124" i="20"/>
  <c r="I124" i="20" s="1"/>
  <c r="H139" i="20"/>
  <c r="I139" i="20" s="1"/>
  <c r="H105" i="20"/>
  <c r="H115" i="20"/>
  <c r="I115" i="20" s="1"/>
  <c r="H119" i="20"/>
  <c r="I119" i="20" s="1"/>
  <c r="H153" i="20"/>
  <c r="I153" i="20" s="1"/>
  <c r="H148" i="20"/>
  <c r="I148" i="20" s="1"/>
  <c r="H150" i="20"/>
  <c r="I150" i="20" s="1"/>
  <c r="H132" i="20"/>
  <c r="I132" i="20" s="1"/>
  <c r="H103" i="20"/>
  <c r="I103" i="20" s="1"/>
  <c r="H107" i="20"/>
  <c r="I107" i="20" s="1"/>
  <c r="H154" i="20"/>
  <c r="I154" i="20" s="1"/>
  <c r="H118" i="20"/>
  <c r="I118" i="20" s="1"/>
  <c r="H147" i="20"/>
  <c r="I147" i="20" s="1"/>
  <c r="H145" i="20"/>
  <c r="I145" i="20" s="1"/>
  <c r="H123" i="20"/>
  <c r="I123" i="20" s="1"/>
  <c r="H133" i="20"/>
  <c r="I133" i="20" s="1"/>
  <c r="H104" i="20"/>
  <c r="I104" i="20" s="1"/>
  <c r="H149" i="20"/>
  <c r="I149" i="20" s="1"/>
  <c r="H135" i="20"/>
  <c r="I135" i="20" s="1"/>
  <c r="H116" i="20"/>
  <c r="I116" i="20" s="1"/>
  <c r="H100" i="20"/>
  <c r="H134" i="20"/>
  <c r="I134" i="20" s="1"/>
  <c r="H108" i="20"/>
  <c r="I108" i="20" s="1"/>
  <c r="H157" i="20"/>
  <c r="I157" i="20" s="1"/>
  <c r="H156" i="20"/>
  <c r="I156" i="20" s="1"/>
  <c r="H155" i="20"/>
  <c r="I155" i="20" s="1"/>
  <c r="H110" i="20"/>
  <c r="I110" i="20" s="1"/>
  <c r="H127" i="20"/>
  <c r="I127" i="20" s="1"/>
  <c r="H111" i="20"/>
  <c r="I111" i="20" s="1"/>
  <c r="H109" i="20"/>
  <c r="I109" i="20" s="1"/>
  <c r="H151" i="20"/>
  <c r="I151" i="20" s="1"/>
  <c r="H138" i="20"/>
  <c r="I138" i="20" s="1"/>
  <c r="H141" i="20"/>
  <c r="I141" i="20" s="1"/>
  <c r="H114" i="20"/>
  <c r="I114" i="20" s="1"/>
  <c r="H136" i="20"/>
  <c r="I136" i="20" s="1"/>
  <c r="H128" i="20"/>
  <c r="I128" i="20" s="1"/>
  <c r="H125" i="20"/>
  <c r="I125" i="20" s="1"/>
  <c r="H106" i="20"/>
  <c r="I106" i="20" s="1"/>
  <c r="H121" i="20"/>
  <c r="I121" i="20" s="1"/>
  <c r="H113" i="20"/>
  <c r="I113" i="20" s="1"/>
  <c r="H152" i="20"/>
  <c r="I152" i="20" s="1"/>
  <c r="H117" i="20"/>
  <c r="I117" i="20" s="1"/>
  <c r="H140" i="20"/>
  <c r="I140" i="20" s="1"/>
  <c r="H131" i="20"/>
  <c r="I131" i="20" s="1"/>
  <c r="H102" i="20"/>
  <c r="I102" i="20" s="1"/>
  <c r="H129" i="20"/>
  <c r="I129" i="20" s="1"/>
  <c r="H143" i="20"/>
  <c r="I143" i="20" s="1"/>
  <c r="H112" i="20"/>
  <c r="I112" i="20" s="1"/>
  <c r="H159" i="20"/>
  <c r="I159" i="20" s="1"/>
  <c r="H146" i="20"/>
  <c r="I146" i="20" s="1"/>
  <c r="H144" i="20"/>
  <c r="I144" i="20" s="1"/>
  <c r="H122" i="20"/>
  <c r="I122" i="20" s="1"/>
  <c r="H126" i="20"/>
  <c r="I126" i="20" s="1"/>
  <c r="H130" i="20"/>
  <c r="I130" i="20" s="1"/>
  <c r="H137" i="20"/>
  <c r="I137" i="20" s="1"/>
  <c r="H101" i="20"/>
  <c r="I101" i="20" s="1"/>
  <c r="H120" i="20"/>
  <c r="I120" i="20" s="1"/>
  <c r="H158" i="20"/>
  <c r="I158" i="20" s="1"/>
  <c r="H142" i="20"/>
  <c r="I142" i="20" s="1"/>
  <c r="J106" i="13" l="1"/>
  <c r="O106" i="13"/>
  <c r="P106" i="13" s="1"/>
  <c r="J107" i="13"/>
  <c r="O107" i="13"/>
  <c r="P107" i="13" s="1"/>
  <c r="O110" i="13"/>
  <c r="P110" i="13" s="1"/>
  <c r="J110" i="13"/>
  <c r="O108" i="13"/>
  <c r="P108" i="13" s="1"/>
  <c r="J108" i="13"/>
  <c r="N88" i="20"/>
  <c r="I105" i="20"/>
  <c r="O102" i="13"/>
  <c r="P102" i="13" s="1"/>
  <c r="J102" i="13"/>
  <c r="I162" i="13"/>
  <c r="O109" i="13"/>
  <c r="P109" i="13" s="1"/>
  <c r="J109" i="13"/>
  <c r="O105" i="13"/>
  <c r="P105" i="13" s="1"/>
  <c r="J105" i="13"/>
  <c r="H160" i="20"/>
  <c r="I100" i="20"/>
  <c r="N22" i="13"/>
  <c r="M92" i="13"/>
  <c r="J111" i="13"/>
  <c r="O111" i="13"/>
  <c r="P111" i="13" s="1"/>
  <c r="N91" i="13"/>
  <c r="J104" i="13"/>
  <c r="O104" i="13"/>
  <c r="P104" i="13" s="1"/>
  <c r="O103" i="13"/>
  <c r="P103" i="13" s="1"/>
  <c r="J103" i="13"/>
  <c r="I160" i="20" l="1"/>
  <c r="O91" i="13"/>
  <c r="O92" i="13" s="1"/>
  <c r="N92" i="13"/>
  <c r="O22" i="13"/>
  <c r="N23" i="13"/>
  <c r="G27" i="2"/>
  <c r="L27" i="2" s="1"/>
  <c r="J162" i="13"/>
  <c r="N89" i="20"/>
  <c r="N26" i="20"/>
  <c r="O26" i="20" s="1"/>
  <c r="O23" i="13" l="1"/>
  <c r="P22" i="13"/>
  <c r="P23" i="13" s="1"/>
  <c r="L39" i="2" s="1"/>
</calcChain>
</file>

<file path=xl/sharedStrings.xml><?xml version="1.0" encoding="utf-8"?>
<sst xmlns="http://schemas.openxmlformats.org/spreadsheetml/2006/main" count="2458" uniqueCount="1297">
  <si>
    <t>CALCULATION OF RECOVERABLE HEDGE GAINS/LOSSES</t>
  </si>
  <si>
    <t>Net Includable Hedge Amount</t>
  </si>
  <si>
    <t>Source of Data</t>
  </si>
  <si>
    <t>Plant Held For Future Use</t>
  </si>
  <si>
    <t>( C )</t>
  </si>
  <si>
    <t>General Notes:  a)  References to data from Worksheets are indicated as:  Worksheet X, Line#.Column.X</t>
  </si>
  <si>
    <t>Average Balance of Common Equity</t>
  </si>
  <si>
    <t>Development of Cost of  Long Term Debt Based on Average Outstanding Balance</t>
  </si>
  <si>
    <t>Total Hedge Amortization</t>
  </si>
  <si>
    <t>Development of Cost of Preferred Stock</t>
  </si>
  <si>
    <t>321.80.b</t>
  </si>
  <si>
    <t>322.156.b</t>
  </si>
  <si>
    <t>354.21.b</t>
  </si>
  <si>
    <t>Date</t>
  </si>
  <si>
    <t>Property Description</t>
  </si>
  <si>
    <t>Basis</t>
  </si>
  <si>
    <t>Proceeds</t>
  </si>
  <si>
    <t xml:space="preserve">Line </t>
  </si>
  <si>
    <t>Function (T) or (G)</t>
  </si>
  <si>
    <t>Functional Allocator</t>
  </si>
  <si>
    <t xml:space="preserve">(G) </t>
  </si>
  <si>
    <t>Functionalized Proceeds</t>
  </si>
  <si>
    <t>Removes transmission plant (e.g. step-up transformers) included in the development of OATT ancillary service rates and not already removed for reasons indicated in Note P.</t>
  </si>
  <si>
    <t xml:space="preserve">     Less: Account 565</t>
  </si>
  <si>
    <t>ACCUMULATED DEPRECIATION AND AMORTIZATION</t>
  </si>
  <si>
    <t>WACC=</t>
  </si>
  <si>
    <t>TP1</t>
  </si>
  <si>
    <t>TP1=</t>
  </si>
  <si>
    <t>Non-</t>
  </si>
  <si>
    <t xml:space="preserve"> The rates for each AEP company have been approved by their respective regulatory commissions.  </t>
  </si>
  <si>
    <t>Annual Tax Expenses by Type (Note 1)</t>
  </si>
  <si>
    <t xml:space="preserve">IPP CONTRIBUTIONS FOR CONSTRUCTION  </t>
  </si>
  <si>
    <t>TAXES OTHER THAN INCOME</t>
  </si>
  <si>
    <t>TOTAL OTHER TAXES</t>
  </si>
  <si>
    <t xml:space="preserve">The Long Term Debt balance for I&amp;M includes the accumulated balance of principle and related interest for Spent Nuclear Fuel Disposal Costs collected prior to April 7, 1983. </t>
  </si>
  <si>
    <t>TOTAL INCOME TAXES</t>
  </si>
  <si>
    <t>Item No.</t>
  </si>
  <si>
    <t>Expense</t>
  </si>
  <si>
    <t>Specific</t>
  </si>
  <si>
    <t>Explanation</t>
  </si>
  <si>
    <t>SUPPORTING CALCULATIONS</t>
  </si>
  <si>
    <t>WAGES &amp; SALARY ALLOCATOR (W/S)</t>
  </si>
  <si>
    <t>Transmission related amount</t>
  </si>
  <si>
    <t>W/S=</t>
  </si>
  <si>
    <t>TOTAL WORKING CAPITAL</t>
  </si>
  <si>
    <t>TOTAL NET PLANT IN SERVICE</t>
  </si>
  <si>
    <t>TOTAL ACCUMULATED DEPRECIATION</t>
  </si>
  <si>
    <t>TOTAL GROSS PLANT</t>
  </si>
  <si>
    <t>General Plant and Administrative &amp; General expenses, other than in accounts 924, 928, and 930, will be functionalized  based on the Wages &amp; Salaries "W/S" allocator. The allocation basis for accounts 924, 928 and 930 are separately presented in the formula. A change in the allocation method for an account must be approved via a 205 filing with the FERC.</t>
  </si>
  <si>
    <t>Detail of Account 561 Per FERC Form 1</t>
  </si>
  <si>
    <t>FF1 p 321.85.b</t>
  </si>
  <si>
    <t>561.1 - Load Dispatch - Reliability</t>
  </si>
  <si>
    <t>FF1 p 321.86.b</t>
  </si>
  <si>
    <t>561.2 - Load Dispatch - Monitor &amp; Operate Trans System</t>
  </si>
  <si>
    <t>FF1 p 321.87.b</t>
  </si>
  <si>
    <t>561.3 - Load Dispatch - Trans Service &amp; Scheduling</t>
  </si>
  <si>
    <t>FF1 p 321.88.b</t>
  </si>
  <si>
    <t>561.4 - Scheduling, System Control &amp; Dispatch</t>
  </si>
  <si>
    <t>FF1 p 321.89.b</t>
  </si>
  <si>
    <t>561.5 -  Reliability, Planning and Standards Development</t>
  </si>
  <si>
    <t>FF1 p 321.90.b</t>
  </si>
  <si>
    <t>561.6 - Transmission Service Studies</t>
  </si>
  <si>
    <t>FF1 p 321.91.b</t>
  </si>
  <si>
    <t>561.7 - Generation Interconnection Studies</t>
  </si>
  <si>
    <t>FF1 p 321.92.b</t>
  </si>
  <si>
    <t>561.8 -  Reliability, Planning and Standards Development Services</t>
  </si>
  <si>
    <t>Total of Account 561</t>
  </si>
  <si>
    <t>Company Records - Note 1</t>
  </si>
  <si>
    <t>NOTE 1</t>
  </si>
  <si>
    <t xml:space="preserve">NOTE 2 </t>
  </si>
  <si>
    <t xml:space="preserve">ADIT balances should exclude balances related to hedging activity. </t>
  </si>
  <si>
    <t>Interest Accrual (Company Records - Note 1)</t>
  </si>
  <si>
    <t>Revenue Credits to Generators (Company Records - Note 1)</t>
  </si>
  <si>
    <t>Accounting Adjustment  (Company Records - Note 1)</t>
  </si>
  <si>
    <t>Subtotal - Other Operating Revenues (Company Total equals (FF1 p. 300.26.(b))</t>
  </si>
  <si>
    <t>Apportionment Factors are determined as part of the Company's annual tax return for that jurisdiction.</t>
  </si>
  <si>
    <t>FERC FORM 1</t>
  </si>
  <si>
    <t>Tie-Back</t>
  </si>
  <si>
    <t>FERC FORM 1 Reference</t>
  </si>
  <si>
    <t xml:space="preserve">NOTE 1: The detail of each total company number and its source in the FERC Form 1 is shown on WS H-1. </t>
  </si>
  <si>
    <t>FERC</t>
  </si>
  <si>
    <t>TO Total</t>
  </si>
  <si>
    <t>GROSS PLANT IN SERVICE</t>
  </si>
  <si>
    <t>NET PLANT IN SERVICE</t>
  </si>
  <si>
    <t>(E)</t>
  </si>
  <si>
    <t>(F)</t>
  </si>
  <si>
    <t>(G)</t>
  </si>
  <si>
    <t>100%</t>
  </si>
  <si>
    <t>YE Balance</t>
  </si>
  <si>
    <t>Non-Transmission</t>
  </si>
  <si>
    <t>Acc. No.</t>
  </si>
  <si>
    <t>(H)</t>
  </si>
  <si>
    <t>TOTAL ADJUSTMENTS</t>
  </si>
  <si>
    <t>WORKING CAPITAL</t>
  </si>
  <si>
    <t>RATE BASE CALCULATION</t>
  </si>
  <si>
    <t>Data Sources</t>
  </si>
  <si>
    <t>323.189.b</t>
  </si>
  <si>
    <t>323.191.b</t>
  </si>
  <si>
    <t>323.192.b</t>
  </si>
  <si>
    <t>INTEREST ON IPP CONTRIBUTION FOR CONST. (Note F) (Worksheet D, ln 2.(B))</t>
  </si>
  <si>
    <t>(Note H) 321.96.b</t>
  </si>
  <si>
    <t>EXPENSE, TAXES, RETURN &amp; REVENUE</t>
  </si>
  <si>
    <t>REQUIREMENTS  CALCULATION</t>
  </si>
  <si>
    <t>OPERATION &amp; MAINTENANCE EXPENSE</t>
  </si>
  <si>
    <t xml:space="preserve">  Administrative and General</t>
  </si>
  <si>
    <t xml:space="preserve">  Prepayments (Account 165) - Unallocable</t>
  </si>
  <si>
    <t>Number</t>
  </si>
  <si>
    <t xml:space="preserve">               Acct. 930.1, Gen. Advert. Exp.</t>
  </si>
  <si>
    <t xml:space="preserve">     Balance of A &amp; G</t>
  </si>
  <si>
    <t xml:space="preserve">     A &amp; G Subtotal</t>
  </si>
  <si>
    <t>TOTAL O &amp; M EXPENSE</t>
  </si>
  <si>
    <t>REVENUE REQUIREMENT (w/o incentives)</t>
  </si>
  <si>
    <t>(See "General Notes")</t>
  </si>
  <si>
    <t>DEPRECIATION AND AMORTIZATION EXPENSE</t>
  </si>
  <si>
    <t xml:space="preserve"> </t>
  </si>
  <si>
    <t>Transmission</t>
  </si>
  <si>
    <t>ln</t>
  </si>
  <si>
    <t>No.</t>
  </si>
  <si>
    <t>Total</t>
  </si>
  <si>
    <t>Allocator</t>
  </si>
  <si>
    <t>TP</t>
  </si>
  <si>
    <t>(1)</t>
  </si>
  <si>
    <t>(2)</t>
  </si>
  <si>
    <t>(3)</t>
  </si>
  <si>
    <t>(4)</t>
  </si>
  <si>
    <t>(5)</t>
  </si>
  <si>
    <t xml:space="preserve">  Production</t>
  </si>
  <si>
    <t>NA</t>
  </si>
  <si>
    <t xml:space="preserve">  Transmission</t>
  </si>
  <si>
    <t>DA</t>
  </si>
  <si>
    <t xml:space="preserve">  Distribution</t>
  </si>
  <si>
    <t xml:space="preserve">  General Plant   </t>
  </si>
  <si>
    <t>W/S</t>
  </si>
  <si>
    <t xml:space="preserve">  Intangible Plant</t>
  </si>
  <si>
    <t xml:space="preserve">  Account No. 255 (enter negative)</t>
  </si>
  <si>
    <t xml:space="preserve">  Transmission </t>
  </si>
  <si>
    <t xml:space="preserve">  General </t>
  </si>
  <si>
    <t xml:space="preserve">  Intangible</t>
  </si>
  <si>
    <t xml:space="preserve">  Labor Related</t>
  </si>
  <si>
    <t xml:space="preserve">          Payroll</t>
  </si>
  <si>
    <t xml:space="preserve">  Plant Related</t>
  </si>
  <si>
    <t xml:space="preserve">         Property</t>
  </si>
  <si>
    <t xml:space="preserve">         Other</t>
  </si>
  <si>
    <t>TP=</t>
  </si>
  <si>
    <t>$</t>
  </si>
  <si>
    <t>Cost</t>
  </si>
  <si>
    <t>%</t>
  </si>
  <si>
    <t>Weighted</t>
  </si>
  <si>
    <t>A</t>
  </si>
  <si>
    <t>B</t>
  </si>
  <si>
    <t>C</t>
  </si>
  <si>
    <t>D</t>
  </si>
  <si>
    <t>E</t>
  </si>
  <si>
    <t>F</t>
  </si>
  <si>
    <t>G</t>
  </si>
  <si>
    <t>H</t>
  </si>
  <si>
    <t>I</t>
  </si>
  <si>
    <t>J</t>
  </si>
  <si>
    <t>K</t>
  </si>
  <si>
    <t>L</t>
  </si>
  <si>
    <t>M</t>
  </si>
  <si>
    <t>Labor</t>
  </si>
  <si>
    <t>(A)</t>
  </si>
  <si>
    <t>(B)</t>
  </si>
  <si>
    <t>(C)</t>
  </si>
  <si>
    <t>(D)</t>
  </si>
  <si>
    <t xml:space="preserve">Total transmission plant   </t>
  </si>
  <si>
    <t>Description</t>
  </si>
  <si>
    <t xml:space="preserve">REVENUE CREDITS </t>
  </si>
  <si>
    <t>Line</t>
  </si>
  <si>
    <t>Amount</t>
  </si>
  <si>
    <t>I.</t>
  </si>
  <si>
    <t>II.</t>
  </si>
  <si>
    <t>III.</t>
  </si>
  <si>
    <t>IV.</t>
  </si>
  <si>
    <t>Notes</t>
  </si>
  <si>
    <t>Letter</t>
  </si>
  <si>
    <t>Year</t>
  </si>
  <si>
    <t>Balance</t>
  </si>
  <si>
    <t>Total Included</t>
  </si>
  <si>
    <t>in Ratebase</t>
  </si>
  <si>
    <t>Other</t>
  </si>
  <si>
    <t xml:space="preserve">Total  </t>
  </si>
  <si>
    <t>Company</t>
  </si>
  <si>
    <t>Direct Payroll</t>
  </si>
  <si>
    <t>January</t>
  </si>
  <si>
    <t>March</t>
  </si>
  <si>
    <t>April</t>
  </si>
  <si>
    <t>May</t>
  </si>
  <si>
    <t>July</t>
  </si>
  <si>
    <t>August</t>
  </si>
  <si>
    <t>December</t>
  </si>
  <si>
    <t>September</t>
  </si>
  <si>
    <t xml:space="preserve">  Account No. 281.1 (enter negative)</t>
  </si>
  <si>
    <t xml:space="preserve">  Account No. 282.1 (enter negative)</t>
  </si>
  <si>
    <t xml:space="preserve">  Account No. 283.1 (enter negative)</t>
  </si>
  <si>
    <t xml:space="preserve">  Account No. 190.1</t>
  </si>
  <si>
    <t xml:space="preserve">     Plus: Acct. 924, Property Insurance</t>
  </si>
  <si>
    <t>WEIGHTED AVERAGE COST OF CAPITAL (WACC)</t>
  </si>
  <si>
    <t>RETURN ON RATE BASE (Rate Base*WACC)</t>
  </si>
  <si>
    <t xml:space="preserve">         Gross Receipts/Sales &amp; Use</t>
  </si>
  <si>
    <t xml:space="preserve">  Other (Excludes A&amp;G) </t>
  </si>
  <si>
    <t>322 &amp; 323.164,171,178.b</t>
  </si>
  <si>
    <t>Total Effective State Income Tax Rate</t>
  </si>
  <si>
    <t>Cash Working Capital</t>
  </si>
  <si>
    <t>PLANT HELD FOR FUTURE USE</t>
  </si>
  <si>
    <t>Source</t>
  </si>
  <si>
    <t>Materials &amp; Supplies</t>
  </si>
  <si>
    <t xml:space="preserve">  Prepayments (Account 165) - Labor Allocated</t>
  </si>
  <si>
    <t xml:space="preserve">  Prepayments (Account 165) - Gross Plant</t>
  </si>
  <si>
    <t>Account 930.2</t>
  </si>
  <si>
    <t>Account 930.1</t>
  </si>
  <si>
    <t>Account 928</t>
  </si>
  <si>
    <t>Average Balance</t>
  </si>
  <si>
    <t>Payroll Billed from AEP Service Corp.</t>
  </si>
  <si>
    <t>Total Other Operating Revenues To Reduce Revenue Requirement</t>
  </si>
  <si>
    <t>GTD=</t>
  </si>
  <si>
    <t xml:space="preserve"> Worksheet H-1 Form 1 Source Reference of Company Amounts on WS H</t>
  </si>
  <si>
    <t>made contributions toward the construction of System upgrades, and includes accrued interest and unreturned balance of contributions.  The annual interest</t>
  </si>
  <si>
    <t>Long Term Interest</t>
  </si>
  <si>
    <t xml:space="preserve">Preferred Dividends </t>
  </si>
  <si>
    <t>TRANSMISSION PLANT INCLUDED IN PJM TARIFF</t>
  </si>
  <si>
    <t>Transmission plant included in PJM Tariff</t>
  </si>
  <si>
    <t>Percent of transmission plant in PJM Tariff</t>
  </si>
  <si>
    <t>Removes plant excluded from the OATT because it does not meet the PJM's definition of Transmission Facilities or is otherwise ineligible to be recovered under the OATT.</t>
  </si>
  <si>
    <t>Less: Net Value of Exempted Generation Plant</t>
  </si>
  <si>
    <t xml:space="preserve">  Regional Market Expenses</t>
  </si>
  <si>
    <t>Worksheet D Supporting  IPP Credits</t>
  </si>
  <si>
    <t>Other Adjustments</t>
  </si>
  <si>
    <t>Production</t>
  </si>
  <si>
    <t xml:space="preserve">           Acct. 928 - Transmission Specific</t>
  </si>
  <si>
    <t>Remaining Unamortized Balance</t>
  </si>
  <si>
    <t>Amortization Period</t>
  </si>
  <si>
    <t>the percentage of federal income tax deductible for state income taxes.  See Worksheet G for the development of the Company's composite SIT.</t>
  </si>
  <si>
    <t>A utility that elected to utilize amortization of tax credits against taxable income, rather than book tax credits to Account No. 255 and reduce rate base, must reduce its income tax</t>
  </si>
  <si>
    <t>expense by the amount of the Amortized Investment Tax Credit (Form 1, 266.8.f)</t>
  </si>
  <si>
    <t>Regulatory Assets and Liabilities Approved for Recovery In Ratebase</t>
  </si>
  <si>
    <t xml:space="preserve"> Worksheet E Supporting Revenue Credits</t>
  </si>
  <si>
    <t xml:space="preserve"> Worksheet H Supporting Taxes Other than Income</t>
  </si>
  <si>
    <t xml:space="preserve"> Worksheet N - Gains (Losses) on Sales of Plant Held For Future Use</t>
  </si>
  <si>
    <t xml:space="preserve">           Acct 930.1 - Only safety related ads -Direct</t>
  </si>
  <si>
    <t xml:space="preserve">           Acct 930.2 - Misc Gen. Exp. - Trans</t>
  </si>
  <si>
    <t>Development of Common Stock:</t>
  </si>
  <si>
    <t xml:space="preserve">Proprietary Capital </t>
  </si>
  <si>
    <t>Common Stock</t>
  </si>
  <si>
    <t>N</t>
  </si>
  <si>
    <t xml:space="preserve">  Customer Related Expense</t>
  </si>
  <si>
    <t xml:space="preserve">  Regional Marketing Expenses</t>
  </si>
  <si>
    <t>TOTAL O&amp;M EXPENSES</t>
  </si>
  <si>
    <t xml:space="preserve">TOTAL REVENUE REQUIREMENT </t>
  </si>
  <si>
    <t xml:space="preserve">  Annual Rate</t>
  </si>
  <si>
    <t xml:space="preserve">  Monthly Rate</t>
  </si>
  <si>
    <t xml:space="preserve">   Project ROE Incentive Adder</t>
  </si>
  <si>
    <t>Weighted cost</t>
  </si>
  <si>
    <t>Rev Require</t>
  </si>
  <si>
    <t xml:space="preserve"> W Incentives</t>
  </si>
  <si>
    <t>Incentive Amounts</t>
  </si>
  <si>
    <t>Long Term Debt</t>
  </si>
  <si>
    <t>Preferred Stock</t>
  </si>
  <si>
    <t>Actual after True-up</t>
  </si>
  <si>
    <t>R =</t>
  </si>
  <si>
    <t>PROJECTED YEAR</t>
  </si>
  <si>
    <t xml:space="preserve">   Return (Rate Base  x  R)</t>
  </si>
  <si>
    <t xml:space="preserve">   Return   (from B. above)</t>
  </si>
  <si>
    <t xml:space="preserve">   Income Tax Calculation  (Return  x  CIT)</t>
  </si>
  <si>
    <t xml:space="preserve">   Income Taxes</t>
  </si>
  <si>
    <t xml:space="preserve">   Income Taxes  (from I.C. above)</t>
  </si>
  <si>
    <t>Calculation of Composite Depreciation Rate</t>
  </si>
  <si>
    <t>Composite Depreciation Rate</t>
  </si>
  <si>
    <t>Depreciable Life for Composite Depreciation Rate</t>
  </si>
  <si>
    <t>Round to nearest whole year</t>
  </si>
  <si>
    <t xml:space="preserve">   (e.g. ER05-925-000)</t>
  </si>
  <si>
    <t>Investment</t>
  </si>
  <si>
    <t>Current Year</t>
  </si>
  <si>
    <t>TRUE UP OF PROJECT REVENUE REQUIREMENT FOR PRIOR YEAR:</t>
  </si>
  <si>
    <t>Service Year (yyyy)</t>
  </si>
  <si>
    <t>ROE increase accepted by FERC (Basis Points)</t>
  </si>
  <si>
    <t>Service Month (1-12)</t>
  </si>
  <si>
    <t>FCR w/o incentives, less depreciation</t>
  </si>
  <si>
    <t>Useful life</t>
  </si>
  <si>
    <t>FCR w/incentives approved for these facilities, less dep.</t>
  </si>
  <si>
    <t>CIAC (Yes or No)</t>
  </si>
  <si>
    <t>Annual Depreciation Expense</t>
  </si>
  <si>
    <t>Beginning</t>
  </si>
  <si>
    <t>Depreciation</t>
  </si>
  <si>
    <t>Ending</t>
  </si>
  <si>
    <t>True-up of Incentive</t>
  </si>
  <si>
    <t xml:space="preserve">w/o Incentives </t>
  </si>
  <si>
    <t>Project Totals</t>
  </si>
  <si>
    <t xml:space="preserve">should be incremented by the amount of the incentive revenue calculated for that year on this project. </t>
  </si>
  <si>
    <t>Determine the Revenue Requirement, and Additional Revenue Requirement for facilities receiving incentives.</t>
  </si>
  <si>
    <t>A. Base Plan Facilities</t>
  </si>
  <si>
    <t>Facilities receiving incentives accepted by FERC in Docket No.</t>
  </si>
  <si>
    <t>Project Description:</t>
  </si>
  <si>
    <t>Details</t>
  </si>
  <si>
    <t>Incentive Rev.</t>
  </si>
  <si>
    <t>Current Projected Year ARR</t>
  </si>
  <si>
    <t>Current Projected Year ARR w/ Incentive</t>
  </si>
  <si>
    <t>w/o Incentives</t>
  </si>
  <si>
    <r>
      <t xml:space="preserve">   Return   (from </t>
    </r>
    <r>
      <rPr>
        <sz val="10"/>
        <rFont val="MS Serif"/>
        <family val="1"/>
      </rPr>
      <t>I</t>
    </r>
    <r>
      <rPr>
        <sz val="10"/>
        <rFont val="Arial"/>
        <family val="2"/>
      </rPr>
      <t>.B. above)</t>
    </r>
  </si>
  <si>
    <r>
      <t>with Incentives</t>
    </r>
    <r>
      <rPr>
        <b/>
        <sz val="10"/>
        <color indexed="10"/>
        <rFont val="Arial"/>
        <family val="2"/>
      </rPr>
      <t xml:space="preserve"> **</t>
    </r>
  </si>
  <si>
    <t>TOTAL DEPRECIATION AND AMORTIZATI0N</t>
  </si>
  <si>
    <t xml:space="preserve">   ITC Adjustment  </t>
  </si>
  <si>
    <t>(Note D)</t>
  </si>
  <si>
    <t>O</t>
  </si>
  <si>
    <t xml:space="preserve">  Prepayments (Account 165) - Transmission Only</t>
  </si>
  <si>
    <t>Account</t>
  </si>
  <si>
    <t>Gross Receipts Tax</t>
  </si>
  <si>
    <t>Federal Excise Tax</t>
  </si>
  <si>
    <t>Property</t>
  </si>
  <si>
    <t>Non-Allocable</t>
  </si>
  <si>
    <t xml:space="preserve"> Total Taxes by Allocable Basis</t>
  </si>
  <si>
    <r>
      <t xml:space="preserve">NOTE:  The net amount of hedging gains or losses recorded in account 427 to be recovered in this formula rate should be limited to the effective portion of pre-issuance cash flow hedges that are amortized over the life of the underlying debt issuances.  The recovery of a net loss or passback of a net gain will be limited to five basis points of the total Capital Structure.  </t>
    </r>
    <r>
      <rPr>
        <u/>
        <sz val="11"/>
        <rFont val="Arial"/>
        <family val="2"/>
      </rPr>
      <t>Amounts related to the ineffective portion of pre-issuance hedges, cash settlements of fair value hedges issued on Long Term Debt, post-issuance cash flow hedges, and cash flow hedges of variable rate debt issuances are not recoverable in this formula and are to be recorded in the “Excludable” column below.</t>
    </r>
  </si>
  <si>
    <t>Year End Total Agrees to FF1 p.112, Ln 3, col (c ) &amp; (d)</t>
  </si>
  <si>
    <t xml:space="preserve">Federal Unemployment Tax </t>
  </si>
  <si>
    <t xml:space="preserve">State Unemployment Insurance </t>
  </si>
  <si>
    <t xml:space="preserve">State Public Service Commission Fees </t>
  </si>
  <si>
    <t xml:space="preserve">State Franchise Taxes </t>
  </si>
  <si>
    <t xml:space="preserve">State Lic/Registration Fee  </t>
  </si>
  <si>
    <t xml:space="preserve">Misc. State and Local Tax </t>
  </si>
  <si>
    <t xml:space="preserve">Sales &amp; Use </t>
  </si>
  <si>
    <t xml:space="preserve">Federal Insurance Contribution (FICA ) </t>
  </si>
  <si>
    <t xml:space="preserve">Miscellaneous Taxes </t>
  </si>
  <si>
    <t>Revenue Taxes</t>
  </si>
  <si>
    <t>Real Estate and Personal Property Taxes</t>
  </si>
  <si>
    <t xml:space="preserve">Payroll Taxes </t>
  </si>
  <si>
    <t>DEFERRED TAX ADJUSTMENTS TO RATE BASE</t>
  </si>
  <si>
    <t>REGULATORY ASSETS</t>
  </si>
  <si>
    <t xml:space="preserve">     Less: Total Account 561</t>
  </si>
  <si>
    <t xml:space="preserve">               Acct. 928, Reg. Com. Exp.</t>
  </si>
  <si>
    <t xml:space="preserve">  Less:    Acct. 924, Property Insurance</t>
  </si>
  <si>
    <t xml:space="preserve">               Acct. 930.2, Misc. Gen. Exp.</t>
  </si>
  <si>
    <t xml:space="preserve">     Less: Regulatory Deferrals &amp; Amortizations</t>
  </si>
  <si>
    <t>Transmsission</t>
  </si>
  <si>
    <t>General</t>
  </si>
  <si>
    <t xml:space="preserve"> Transmission Materials &amp; Supplies</t>
  </si>
  <si>
    <t xml:space="preserve">  A&amp;G Materials &amp; Supplies </t>
  </si>
  <si>
    <t>INCOME TAXES</t>
  </si>
  <si>
    <t xml:space="preserve">     T=1 - {[(1 - SIT) * (1 - FIT)] / (1 - SIT * FIT * p)} =</t>
  </si>
  <si>
    <t xml:space="preserve">    EIT=(T/(1-T)) * (1-(WCLTD/WACC)) =</t>
  </si>
  <si>
    <t>Amortized Investment Tax Credit (enter negative)</t>
  </si>
  <si>
    <t xml:space="preserve">Income Tax Calculation </t>
  </si>
  <si>
    <t xml:space="preserve">     ITC adjustment</t>
  </si>
  <si>
    <t>(Note R)</t>
  </si>
  <si>
    <t>The currently effective income tax rate,  where FIT is the Federal income tax rate; SIT is the State income tax rate, and p =</t>
  </si>
  <si>
    <t xml:space="preserve">         Inputs Required:</t>
  </si>
  <si>
    <t>FIT =</t>
  </si>
  <si>
    <t>SIT=</t>
  </si>
  <si>
    <t>p =</t>
  </si>
  <si>
    <t xml:space="preserve">  (percent of federal income tax deductible for state purposes)</t>
  </si>
  <si>
    <t>P</t>
  </si>
  <si>
    <t>Q</t>
  </si>
  <si>
    <t>R</t>
  </si>
  <si>
    <t>S</t>
  </si>
  <si>
    <t>NOTE C</t>
  </si>
  <si>
    <t>Includes only FICA, unemployment, highway, property and other assessments charged in the current year.  Gross receipts, sales &amp; use and taxes related to income are excluded.</t>
  </si>
  <si>
    <t>RTEP Rev. Req't.</t>
  </si>
  <si>
    <t xml:space="preserve">          TEMPLATE BELOW TO MAINTAIN HISTORY OF PROJECTED ARRS OVER THE </t>
  </si>
  <si>
    <t>RTEP Projected Rev. Req't.From Prior Year WS J</t>
  </si>
  <si>
    <t>HEDGE AMOUNTS BY ISSUANCE (FROM p. 256-257 (i) of the FERC Form 1)</t>
  </si>
  <si>
    <t>Note: Regulatory Assets &amp; Liabilities can only be included in ratebase pursuant to a 205 filing with the FERC.</t>
  </si>
  <si>
    <t xml:space="preserve">Less: Account 216.1 </t>
  </si>
  <si>
    <t xml:space="preserve">          TEMPLATE BELOW TO MAINTAIN HISTORY OF TRUED-UP ARRS OVER THE </t>
  </si>
  <si>
    <t xml:space="preserve">         LIFE OF THE PROJECT.</t>
  </si>
  <si>
    <t>RTEP Rev Req't True-up</t>
  </si>
  <si>
    <t>RTEP Projected Rev. Req't.From Prior Year Template</t>
  </si>
  <si>
    <t>RTEP  Rev Req't True-up</t>
  </si>
  <si>
    <t>Less: Account 219</t>
  </si>
  <si>
    <t>Less: Preferred Stock</t>
  </si>
  <si>
    <t>1) Forfeited Discounts.</t>
  </si>
  <si>
    <t>2) Miscellaneous Service Revenues.</t>
  </si>
  <si>
    <t>5) Other electric revenues.</t>
  </si>
  <si>
    <t>6) Revenues for grandfathered PTP contracts included in the load divisor.</t>
  </si>
  <si>
    <t>NET PLANT CARRYING CHARGE w/o intra-AEP charges or credits or ROE incentives (Note B)</t>
  </si>
  <si>
    <t>FF1, page 214, ln 47, Col. (d)</t>
  </si>
  <si>
    <t xml:space="preserve">  Less: Distribution ARO (Enter Negative) </t>
  </si>
  <si>
    <t xml:space="preserve">  Less: General Plant ARO (Enter Negative) </t>
  </si>
  <si>
    <t xml:space="preserve">  Less: Production ARO (Enter Negative) </t>
  </si>
  <si>
    <t xml:space="preserve">  Less: Transmission ARO (Enter Negative) </t>
  </si>
  <si>
    <t>FF1, page 219, lns 20-24, Col. (b)</t>
  </si>
  <si>
    <t>FF1, page 219, ln 25, Col. (b)</t>
  </si>
  <si>
    <t>(Total Company Amount Ties to FFI p.114, Ln 14,(c))</t>
  </si>
  <si>
    <t>June</t>
  </si>
  <si>
    <t>Subtotal - Form 1, p 111.57.d</t>
  </si>
  <si>
    <t>Total O&amp;M Allocable to Transmission</t>
  </si>
  <si>
    <t xml:space="preserve">AEP East Companies </t>
  </si>
  <si>
    <t>Transmission Cost of Service Formula Rate</t>
  </si>
  <si>
    <t>AEP East Companies</t>
  </si>
  <si>
    <t xml:space="preserve">ITC Balances Includeable Ratebase </t>
  </si>
  <si>
    <t>Requirement ##</t>
  </si>
  <si>
    <t>Note: Gain or loss on plant held for future are recorded in accounts 411.6 or 411.7 respectiviely.  Sales will be funtionalized based on the description of that asset. Sales of transmission assets will be direct assigned; sales of general assets will be functionalized on labor.  Sales of plant held for future use related to generation or distribution will not be included in the formula.</t>
  </si>
  <si>
    <t>AEP EAST COMPANIES</t>
  </si>
  <si>
    <t>Worksheet  - P CALCULATION OF</t>
  </si>
  <si>
    <t>TOTAL WEIGHTED AVERAGE DEPRECIATION RATES</t>
  </si>
  <si>
    <t>FOR TRANSMISSION PLANT PROPERTY ACCOUNT</t>
  </si>
  <si>
    <t>FOR MULTIPLE JURISDICTION COMPANIES</t>
  </si>
  <si>
    <t>FERC WHOLESALE</t>
  </si>
  <si>
    <t>COMPANY</t>
  </si>
  <si>
    <t>WTD AVG.</t>
  </si>
  <si>
    <t>PLANT</t>
  </si>
  <si>
    <t>ALLOCATION</t>
  </si>
  <si>
    <t>DEPREC.</t>
  </si>
  <si>
    <t>APPROVED</t>
  </si>
  <si>
    <t>ACCT.</t>
  </si>
  <si>
    <t>RATES</t>
  </si>
  <si>
    <t>RATE</t>
  </si>
  <si>
    <t xml:space="preserve"> TRANSMISSION PLANT</t>
  </si>
  <si>
    <t xml:space="preserve">  Structures &amp; Improvements</t>
  </si>
  <si>
    <t xml:space="preserve">  Station Equipment</t>
  </si>
  <si>
    <t xml:space="preserve">  Towers &amp; Fixtures</t>
  </si>
  <si>
    <t xml:space="preserve">  Poles &amp; Fixtures</t>
  </si>
  <si>
    <t xml:space="preserve">  Underground Conduit</t>
  </si>
  <si>
    <t xml:space="preserve">  Underground Conductors</t>
  </si>
  <si>
    <t>GENERAL NOTES:</t>
  </si>
  <si>
    <t xml:space="preserve"> O &amp; M EXPENSE SUBTOTAL</t>
  </si>
  <si>
    <t xml:space="preserve">Includes functional wages &amp; salaries billed by AEP Service Corporation  for support of the operating company. </t>
  </si>
  <si>
    <t>321.112.b</t>
  </si>
  <si>
    <t>322.131.b</t>
  </si>
  <si>
    <t>323.185.b</t>
  </si>
  <si>
    <t>336.7.f</t>
  </si>
  <si>
    <t>336.10.f</t>
  </si>
  <si>
    <t>336.1.f</t>
  </si>
  <si>
    <t>(Note N)</t>
  </si>
  <si>
    <t>336.8.f</t>
  </si>
  <si>
    <t>336.2-6.f</t>
  </si>
  <si>
    <t xml:space="preserve"> (Note O)</t>
  </si>
  <si>
    <t>T</t>
  </si>
  <si>
    <t>(Note S)</t>
  </si>
  <si>
    <t xml:space="preserve">       and FIT, SIT &amp; p are as given in Note O.</t>
  </si>
  <si>
    <t>354.23.b</t>
  </si>
  <si>
    <t>354.24,25,26.b</t>
  </si>
  <si>
    <t>354.20.b</t>
  </si>
  <si>
    <t>REVENUE REQUIREMENT FOR SCHEDULE 1A CHARGES</t>
  </si>
  <si>
    <t>Total 561 Internally Developed Costs</t>
  </si>
  <si>
    <t xml:space="preserve">Total Load Dispatch &amp; Scheduling (Account 561) </t>
  </si>
  <si>
    <t>FF1, p. 227, ln 8, Col. (c) &amp; (b)</t>
  </si>
  <si>
    <t>FF1, p. 227, ln 11, Col. (c) &amp; (b)</t>
  </si>
  <si>
    <t>FF1, p. 227, ln 16, Col. (c) &amp; (b)</t>
  </si>
  <si>
    <t>Distribution</t>
  </si>
  <si>
    <t>Production Taxes</t>
  </si>
  <si>
    <t>State Severance Taxes</t>
  </si>
  <si>
    <t>FF1, page 205 Col.(g) &amp; pg. 204 Col. (b), ln 46</t>
  </si>
  <si>
    <t>FF1, page 207 Col.(g) &amp; pg. 206 Col. (b), ln 58</t>
  </si>
  <si>
    <t>FF1, page 207 Col.(g) &amp; pg. 206 Col. (b), ln 75</t>
  </si>
  <si>
    <t>FF1, page 207 Col.(g) &amp; pg. 206 Col. (b), ln 74</t>
  </si>
  <si>
    <t>FF1, page 205 Col.(g) &amp; pg. 204 Col. (b), ln 5</t>
  </si>
  <si>
    <t>FF1, page 205&amp;204, Col.(g)&amp;(b), lns 15,24,34,44</t>
  </si>
  <si>
    <t xml:space="preserve">   Effective State Tax Rate</t>
  </si>
  <si>
    <t>FF1, p. 274 - 275, ln 5, Col. (k)</t>
  </si>
  <si>
    <t>Current Projected Year Incentive ARR</t>
  </si>
  <si>
    <t>SUMMARY OF PROJECTED ANNUAL RTEP  REVENUE REQUIREMENTS</t>
  </si>
  <si>
    <t>TRUE-UP YEAR</t>
  </si>
  <si>
    <t>As Projected in Prior Year WS J</t>
  </si>
  <si>
    <t>SUMMARY OF TRUED-UP ANNUAL REVENUE REQUIREMENTS FOR RTEPPROJECTS</t>
  </si>
  <si>
    <t>Prior Yr Projected</t>
  </si>
  <si>
    <t>Prior Yr True-Up</t>
  </si>
  <si>
    <t>True-Up Adjustment</t>
  </si>
  <si>
    <t xml:space="preserve">Average </t>
  </si>
  <si>
    <t>CUMULATIVE HISTORY OF PROJECTED ANNUAL REVENUE REQUIREMENTS:</t>
  </si>
  <si>
    <t>In order to calculate the proper monthly RTEP billing amount, PJM requires a 12 month revenue requirement for each RTEP project.  As a result, notwithstanding the fact that the project was in service for a partial year, the project revenue requirement in the year that the project goes into service has been annualized (shown at the full-year level) so that PJM will collect the correct monthly billings.</t>
  </si>
  <si>
    <t>Relative Valuation Factor</t>
  </si>
  <si>
    <t>Functional Property Tax Allocation</t>
  </si>
  <si>
    <t>Real and Personal Property - Other Jurisdictions</t>
  </si>
  <si>
    <t>REVENUE REQUIREMENT For All Company Facilities</t>
  </si>
  <si>
    <t>A.   Determine Annual Revenue Requirement less return and Income Taxes.</t>
  </si>
  <si>
    <t>354.22.b</t>
  </si>
  <si>
    <t>with Incentives **</t>
  </si>
  <si>
    <t xml:space="preserve"> Worksheet J Supporting Calculation of PROJECTED PJM RTEP Project Revenue Requirement Billed to Benefiting Zones</t>
  </si>
  <si>
    <t xml:space="preserve"> Worksheet K Supporting Calculation of TRUE-UP PJM RTEP Project Revenue Requirement Billed to Benefiting Zones</t>
  </si>
  <si>
    <t>FF1, p. 266-267, ln 8, Col. (h)</t>
  </si>
  <si>
    <t xml:space="preserve"> Worksheet B Supporting ADIT and ITC Balances</t>
  </si>
  <si>
    <t>Less:  Load Dispatch - Scheduling, System Control and Dispatch Services (321.88.b)</t>
  </si>
  <si>
    <t>Less:  Load Dispatch - Reliability, Planning &amp; Standards Development Services (321.92.b)</t>
  </si>
  <si>
    <t xml:space="preserve">   R   (from A. above)</t>
  </si>
  <si>
    <t>CUMULATIVE HISTORY OF TRUED-UP ANNUAL REVENUE REQUIREMENTS:</t>
  </si>
  <si>
    <t>additional incentive requirement is applicable for the life of this specific project.  Each year the revenue requirement calculated for PJM</t>
  </si>
  <si>
    <t>Revenue credits include:</t>
  </si>
  <si>
    <t>3) Rental revenues earned on assets included in the rate base.</t>
  </si>
  <si>
    <t>4) Revenues for associated business projects provided by employees whose labor and overhead costs are in the transmission cost of service.</t>
  </si>
  <si>
    <t>(Note I) (Worksheet F, ln 4.C)</t>
  </si>
  <si>
    <t>FF1, page 219, ln 28, Col. (b)</t>
  </si>
  <si>
    <t xml:space="preserve">Account 450, Forfeited Discounts  (FF1 p.300.16.(b); Company Records - Note 1) </t>
  </si>
  <si>
    <t xml:space="preserve">Account 451,Miscellaneous Service Revenues  (FF1 p.300.17.(b); Company Records - Note 1) </t>
  </si>
  <si>
    <t xml:space="preserve">Account 454, Rent from Electric Property (FF1 p.300.19.(b); Company Records - Note 1) </t>
  </si>
  <si>
    <t>Accounts  4470004 &amp; 5, Revenues from Grandfathered Transmission Contracts - (Company Records - Note 1)</t>
  </si>
  <si>
    <t xml:space="preserve">     Plus: Transmission Lease Payments To Affiliates in Acct 565 (Company Records) (Note H)</t>
  </si>
  <si>
    <t>See Worksheet E for details.</t>
  </si>
  <si>
    <t xml:space="preserve"> Worksheet F Supporting Allocation of Specific O&amp;M or  A&amp;G Expenses</t>
  </si>
  <si>
    <t>Financial Hedge Recovery Limit  - Five Basis Points of Total Capital</t>
  </si>
  <si>
    <t>Limit of Recoverable Amount</t>
  </si>
  <si>
    <t>T =  Transmission</t>
  </si>
  <si>
    <t>G = General</t>
  </si>
  <si>
    <t>(Gain) / Loss</t>
  </si>
  <si>
    <t>U</t>
  </si>
  <si>
    <t>Worksheet C Supporting Working Capital Rate Base Adjustments</t>
  </si>
  <si>
    <t>Regulatory O&amp;M Deferrals &amp; Amortizations</t>
  </si>
  <si>
    <t>Total Regulatory Deferrals Included in Ratebase</t>
  </si>
  <si>
    <t>(Note E)</t>
  </si>
  <si>
    <t>Note 1</t>
  </si>
  <si>
    <t>(I)</t>
  </si>
  <si>
    <t xml:space="preserve">Average of </t>
  </si>
  <si>
    <t>Balances</t>
  </si>
  <si>
    <t xml:space="preserve">Subtotal - Form 1, p 111.57.c  </t>
  </si>
  <si>
    <t>(FF1 p.114, ln 19.c)</t>
  </si>
  <si>
    <t xml:space="preserve">  (State Income Tax Rate or Composite SIT.  Worksheet G))</t>
  </si>
  <si>
    <t>Average</t>
  </si>
  <si>
    <t>FF1, page 219, ln 26, Col. (b)</t>
  </si>
  <si>
    <t>FF1, page 200, ln 21, Col. (b)</t>
  </si>
  <si>
    <t>Account 281</t>
  </si>
  <si>
    <t>Account 282</t>
  </si>
  <si>
    <t>Account 283</t>
  </si>
  <si>
    <t xml:space="preserve">Account 190 </t>
  </si>
  <si>
    <t>Account 255</t>
  </si>
  <si>
    <t>FF1, p. 234, ln 8, Col. (c)</t>
  </si>
  <si>
    <t>Year End Utility Deferrals</t>
  </si>
  <si>
    <t>Transmission Related Deferrals</t>
  </si>
  <si>
    <t>FF1, p. 272 - 273, ln 8, Col. (k)</t>
  </si>
  <si>
    <t>FF1, p. 276 - 277, ln 9, Col. (k)</t>
  </si>
  <si>
    <t>Less:  ARO Related Deferrals</t>
  </si>
  <si>
    <t>Less: Other Excluded Deferrals</t>
  </si>
  <si>
    <t>Year End ITC Balances</t>
  </si>
  <si>
    <t xml:space="preserve">Less:  Balances Not Qualified for Ratebase </t>
  </si>
  <si>
    <t xml:space="preserve">Plant </t>
  </si>
  <si>
    <t>Related</t>
  </si>
  <si>
    <t>(E)+(F)+(G)</t>
  </si>
  <si>
    <t>Transmission Materials &amp; Supplies</t>
  </si>
  <si>
    <t xml:space="preserve"> Worksheet G Supporting - Development of Composite State Income Tax Rate</t>
  </si>
  <si>
    <t>General Materials &amp; Supplies</t>
  </si>
  <si>
    <t xml:space="preserve">  Stores Expense </t>
  </si>
  <si>
    <t>Excludable</t>
  </si>
  <si>
    <t>Plant Related Insurance Policies</t>
  </si>
  <si>
    <t>Excess Deferred Income Tax</t>
  </si>
  <si>
    <t>Tax Affect of Permanent Differences</t>
  </si>
  <si>
    <t>Facility Credits under PJM OATT Section 30.9</t>
  </si>
  <si>
    <t xml:space="preserve"> Revenue Requirement for PJM Schedule 12 Facilities (w/o incentives)  (Worksheet J/K)</t>
  </si>
  <si>
    <t>(Worksheet B, ln 2 &amp; ln 5.E)</t>
  </si>
  <si>
    <t>(Worksheet B, ln 7 &amp; ln 10.E)</t>
  </si>
  <si>
    <t>(Worksheet B, ln 12 &amp; ln 15.E)</t>
  </si>
  <si>
    <t>(Worksheet B, ln 17 &amp; ln 20.E)</t>
  </si>
  <si>
    <t>(Worksheet B, ln 24 &amp; ln 25.E)</t>
  </si>
  <si>
    <t>(Worksheet C, ln 2.(F))</t>
  </si>
  <si>
    <t>(Worksheet C, ln 3.(F))</t>
  </si>
  <si>
    <t>(Worksheet C, ln 4.(F))</t>
  </si>
  <si>
    <t>(Note F) (Worksheet D, ln 8.B)</t>
  </si>
  <si>
    <t xml:space="preserve"> (Note U)</t>
  </si>
  <si>
    <t xml:space="preserve"> Worksheet I RESERVED FOR FUTURE USE</t>
  </si>
  <si>
    <t xml:space="preserve"> Worksheet L Reserved for Future Use</t>
  </si>
  <si>
    <t>True-up Adjustment - Over (Under) Recovery</t>
  </si>
  <si>
    <t>Interest Rate on Amount of Refunds or Surcharges</t>
  </si>
  <si>
    <t>Over (Under) Recovery Plus Interest</t>
  </si>
  <si>
    <t>Average Monthly Interest Rate</t>
  </si>
  <si>
    <t>Months</t>
  </si>
  <si>
    <t>Calculated Interest</t>
  </si>
  <si>
    <t>Amortization</t>
  </si>
  <si>
    <t>Surcharge (Refund) Owed</t>
  </si>
  <si>
    <t xml:space="preserve"> from 35.19a  </t>
  </si>
  <si>
    <t>Calculation of Interest</t>
  </si>
  <si>
    <t>Monthly</t>
  </si>
  <si>
    <t>February</t>
  </si>
  <si>
    <t>October</t>
  </si>
  <si>
    <t>November</t>
  </si>
  <si>
    <t>Annual</t>
  </si>
  <si>
    <t>January  through December</t>
  </si>
  <si>
    <t>Over (Under) Recovery Plus Interest Amortized and Recovered Over 12 Months</t>
  </si>
  <si>
    <t>Less Over (Under) Recovery</t>
  </si>
  <si>
    <t>Total Interest</t>
  </si>
  <si>
    <t>Cost of Service Formula Rate Using Actual/Projected FF1 Balances</t>
  </si>
  <si>
    <t>Worksheet Q - True-up With Interest</t>
  </si>
  <si>
    <t>True-Up Adjustment with Interest</t>
  </si>
  <si>
    <t>Note 1:  The interest rate to be applied to the over recovery or under recovery amounts will be determined using the average monthly FERC interest rate (as determined pursuant to 18 C.F.R. Section 35.19a) for the twenty (20) months from the beginning of the rate year being trued-up through August 31 of the following year.</t>
  </si>
  <si>
    <t>(Worksheet C, ln 8.F)</t>
  </si>
  <si>
    <t>(Worksheet C, ln 8.G)</t>
  </si>
  <si>
    <t>(Worksheet C, ln 8.E)</t>
  </si>
  <si>
    <t>(Worksheet C, ln 8.D)</t>
  </si>
  <si>
    <t>7) If AEP East companies have any directly assigned transmission facilities, the revenue credits in the AEP East formula rate shall include all revenues associated with those directly assigned transmission facilities, irrespective of whether the loads of the customer are included in the formula rate divisor; provided however, such addition to revenue credits shall not be reflected if the costs of such directly assigned transmission facilities are not included in the transmission plant balances on which the formula rate ATRR is based.</t>
  </si>
  <si>
    <t>The company will not include the ADIT portion of deferred hedge gains and losses in rate base.  Detailed balances for the projected or actual period, distinguished between utility and non-utility balances, will be filed and posted as part of the information filing.</t>
  </si>
  <si>
    <t xml:space="preserve">The total-company balances shown for Accounts 281, 282, 283, 190 only reflect ADIT that relates to utility operations. The balance of Account 255 is reduced by prior flowthrough and is completely excluded if the utility chose to utilize amortization of tax credits against FIT expense. An exception to this is pre-1971 ITC balances, which are required to be taken as an offset to rate base. Account 281 is not allocated.  </t>
  </si>
  <si>
    <t>In compliance with FERC Rulemaking the calculation of ADIT in the annual projection will be performed in accordance with IRS regulation Section1.167(I)-I(h)(6)(ii).</t>
  </si>
  <si>
    <t>RM02-7-000, Asset Retirement Obligation deferrals have been removed from ratebase. Transmission ADIT allocations are shown on WS B.</t>
  </si>
  <si>
    <t xml:space="preserve">Removes the impact of state regulatory deferrals or their amortization from Transmission O&amp;M expense. </t>
  </si>
  <si>
    <t>Expenses recorded in FERC Accounts 928 (Regulatory Commission Expense), 930.1 (Safety Related Advertising) and 930.2 (Miscellaneouse General Expenses) that are not directly related to or properly allocable to transmission service will be removed from the TCOS.  If AEP includes any expenses booked to these accounts in future ATRR updates, AEP must provide supporting information demonstrating that the underlying activities are directly related to providing transmission service.  Account 930.2 includes the expenses incurred by the transmission function for Associated Business Development revenues given as a credit to the TCOS on Worksheet E.</t>
  </si>
  <si>
    <t>The cost rates for long-term debt shall include interest expense and related periodic expenses (such as remarketing and letter of credit fees) as recorded in FERC Account 427 or 430, amortization of issuance costs (including insurance) and discounts as recorded in FERC Account 428, issuance premiums as recorded in FERC Account 429 and losses or gains on reacquired debt as recorded in FERC Accounts 428.1 or 429.1, respectively.  The cost rates for preferred stock (if applicable) shall include the dividends.</t>
  </si>
  <si>
    <t>Cash investment in prepaid pension and benefits recorded in FERC Account 165 is permitted to be included in the formula.  A labor expense allocation factor will be used to allocate total company costs.  All other prepayments recorded in FERC Account 165 are directly assigned to the transmission function,  allocated or excludable balances detailed on Worksheet C.</t>
  </si>
  <si>
    <t>V</t>
  </si>
  <si>
    <t>X</t>
  </si>
  <si>
    <t>W</t>
  </si>
  <si>
    <t>The formula rate shall allocate property tax expense based on the as filed net plant cost allocation method detailed on Worksheet H.</t>
  </si>
  <si>
    <t>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approval by FERC for inclusion in this formula rate for collection on behalf of the network customer, shall be addressed in either the Network Customer’s Service Agreement or any other agreement between the parties.</t>
  </si>
  <si>
    <t xml:space="preserve">   Annual Revenue Requirement, Less Lease Payments, Return and Taxes</t>
  </si>
  <si>
    <t>ADDITIONAL REVENUE REQUIREMENT for projects w/ incentive ROE's (Note B) (Worksheet J/K)</t>
  </si>
  <si>
    <t xml:space="preserve">The formula rate shall reflect the applicable state and federal statutory tax rates in effect during the period the calculated estimated unit charges are applicable.  </t>
  </si>
  <si>
    <t>If the statutory tax rates change during such period, the effective tax rates used in the formula shall be weighted by the number of days the pre-change rate and post-change rate each is in effect.</t>
  </si>
  <si>
    <t>The annual and monthly net plant carrying charges on page 1 are used to compute the revenue requirement for RTEP sponsored upgrades or those projects receiving approved incentive-ROE's.  Interest  will be calculated based on Worksheet Q and any over under recovery will be filed and posted as part of the informational filing.</t>
  </si>
  <si>
    <t>Real and Personal Property - Tennessee</t>
  </si>
  <si>
    <t>Real and Personal Property - West Virginia</t>
  </si>
  <si>
    <t xml:space="preserve">**  This is the total amount that needs to be reported to PJM for billing to all regions. </t>
  </si>
  <si>
    <t>## This is the calculation of  additional incentive revenue on projects deemed by the FERC to be eligible for an incentive return.  This</t>
  </si>
  <si>
    <t>VIRGINIA</t>
  </si>
  <si>
    <t>WEST VIRGINIA</t>
  </si>
  <si>
    <t>FERC KINGSPORT</t>
  </si>
  <si>
    <t>PSC OF WV</t>
  </si>
  <si>
    <t>VA SCC</t>
  </si>
  <si>
    <t>FACTOR  (5)</t>
  </si>
  <si>
    <t xml:space="preserve">  Land Rights - Va.</t>
  </si>
  <si>
    <t xml:space="preserve">  Energy Storage Equip</t>
  </si>
  <si>
    <t xml:space="preserve">  Overhead Conductor</t>
  </si>
  <si>
    <t xml:space="preserve">(4)  </t>
  </si>
  <si>
    <t xml:space="preserve">(5)  </t>
  </si>
  <si>
    <t>Transmission allocation factors are changed annually in January based on</t>
  </si>
  <si>
    <t xml:space="preserve">September factors as per the PJM tariff approved in FERC Docket ER08-1329 </t>
  </si>
  <si>
    <t>Attachment H-14B, Part II, pg. 15 of 21.</t>
  </si>
  <si>
    <t xml:space="preserve">(6)  </t>
  </si>
  <si>
    <t>APCo falls under the authority of Virginia, West Virginia and the FERC.  Therefore, APCo's rates are a composite of the jurisdictions under which it operates. Each jurisdictions' rate is multiplied by an allocation factor, and the product for each jurisdiction is added with the other jurisdictions to derive the composite rate for the company.</t>
  </si>
  <si>
    <t xml:space="preserve">(Worksheet E Ln 8) (Note A) </t>
  </si>
  <si>
    <t>(Worksheet E Ln 9) (Note X)</t>
  </si>
  <si>
    <t>Note 2</t>
  </si>
  <si>
    <t>The total of line 4 and line 5 will equal total Account 456 as listed on FF1 p.300.21-22.(b)</t>
  </si>
  <si>
    <t>5a</t>
  </si>
  <si>
    <t>5b</t>
  </si>
  <si>
    <t>Account 457.2, Miscellaneous Revenues (FF1p.300.24.(b); Company Records - Note 1)</t>
  </si>
  <si>
    <t>Account 457.1, Regional Control Service  Revenues (FF1 p.300.23.(b); Company Records - Note 1)</t>
  </si>
  <si>
    <t>Total (FERC Form 1 p.323.189.b)</t>
  </si>
  <si>
    <t>Total (FERC Form 1 p.323.191.b)</t>
  </si>
  <si>
    <t>Total (FERC Form 1 p.323.192.b)</t>
  </si>
  <si>
    <t>Gross Proceeds Outstanding Long-Term Debt</t>
  </si>
  <si>
    <t>Y</t>
  </si>
  <si>
    <t>Note 1:</t>
  </si>
  <si>
    <t>Transmission Accum Depreciation net of GSU</t>
  </si>
  <si>
    <t>December  of Rate Year</t>
  </si>
  <si>
    <t xml:space="preserve">August </t>
  </si>
  <si>
    <t xml:space="preserve">March </t>
  </si>
  <si>
    <t>December Prior to Rate Year</t>
  </si>
  <si>
    <t>Company Records</t>
  </si>
  <si>
    <t>(Note A)</t>
  </si>
  <si>
    <t>(e)</t>
  </si>
  <si>
    <t>(d)</t>
  </si>
  <si>
    <t>(c)</t>
  </si>
  <si>
    <t>(b)</t>
  </si>
  <si>
    <t>(a)</t>
  </si>
  <si>
    <t>Excluded Plant  - Accumulated Depreciation</t>
  </si>
  <si>
    <t>Excluded Plant  - Plant In Service</t>
  </si>
  <si>
    <t>OATT Ancillary Services (GSU) Accumulated Depreciation</t>
  </si>
  <si>
    <t>OATT Ancillary Services (GSU) Plant In Service</t>
  </si>
  <si>
    <t>Month</t>
  </si>
  <si>
    <t>Line 
No</t>
  </si>
  <si>
    <t>(j)</t>
  </si>
  <si>
    <t>(i)</t>
  </si>
  <si>
    <t>(h)</t>
  </si>
  <si>
    <t>Intangible</t>
  </si>
  <si>
    <t>General ARO</t>
  </si>
  <si>
    <t>Distribution ARO</t>
  </si>
  <si>
    <t>Transmission ARO</t>
  </si>
  <si>
    <t>Production ARO</t>
  </si>
  <si>
    <t>Accumulated Depreciation</t>
  </si>
  <si>
    <t>Gross Plant In Service</t>
  </si>
  <si>
    <t xml:space="preserve"> Worksheet A Rate Base</t>
  </si>
  <si>
    <t>(f)</t>
  </si>
  <si>
    <t>(g)</t>
  </si>
  <si>
    <t>Acct. 359.1
FF1, page 207 Col.(g) &amp; pg. 206 Col. (b), ln 57</t>
  </si>
  <si>
    <t xml:space="preserve">
FF1, page 207 Col.(g) &amp; pg. 206 Col. (b), ln 99</t>
  </si>
  <si>
    <t>Acct. 399.1
FF1, page 207 Col.(g) &amp; pg. 206 Col. (b), ln 98</t>
  </si>
  <si>
    <t>Company Records (Included in total in Column (b))</t>
  </si>
  <si>
    <t>Company Records (Included in total in Column (d))</t>
  </si>
  <si>
    <t>Company Records (Included in total in Column (f))</t>
  </si>
  <si>
    <t>Company Records (Included in total in Column (h))</t>
  </si>
  <si>
    <t>Company Records (included in total in column (d) of gross plant above)</t>
  </si>
  <si>
    <t>Company Records (included in total in column (b) of accumulated depreciation above)</t>
  </si>
  <si>
    <t>Tax Year</t>
  </si>
  <si>
    <t>NOTE 2: The ratebase should not include the unamoritzed balance of hedging gains or losses.</t>
  </si>
  <si>
    <t xml:space="preserve">NOTE 1: On this worksheet, "Company Records" refers to AEP's property accounting ledger. </t>
  </si>
  <si>
    <t>Worksheet M Supporting Calculation of Capital Structure and Weighted Average Cost of Capital</t>
  </si>
  <si>
    <t>Proprietary Capital</t>
  </si>
  <si>
    <t>Less Undistributed Sub Earnings (Acct 216.1)</t>
  </si>
  <si>
    <t>Less AOCI (Acct 219.1)</t>
  </si>
  <si>
    <t>(f)=(b)-( c)-(d)-( e)</t>
  </si>
  <si>
    <t xml:space="preserve"> (FF1 112.16)</t>
  </si>
  <si>
    <t xml:space="preserve"> (FF1 250-251)</t>
  </si>
  <si>
    <t xml:space="preserve"> (FF1 112.12)</t>
  </si>
  <si>
    <t>(FF1 112.15)</t>
  </si>
  <si>
    <t>Average Balance of Long Term Debt</t>
  </si>
  <si>
    <t>Less: Fair Value Hedges</t>
  </si>
  <si>
    <t>(g)=(b)-( c)+(d)+( e)-(f)</t>
  </si>
  <si>
    <t xml:space="preserve"> (FF1 112.18)</t>
  </si>
  <si>
    <t xml:space="preserve"> (FF1 112.19)</t>
  </si>
  <si>
    <t xml:space="preserve"> (FF1 112.20)</t>
  </si>
  <si>
    <t>(FF1 112.21)</t>
  </si>
  <si>
    <t>FF1, page 257, Col. (h) - Note 1</t>
  </si>
  <si>
    <t>NOTE 1:  The balance of fair value hedges on outstanding long term debt are to be excluded from the balance of long term debt included in the formula's capital structure. (Page 257 Column H of the FF1)</t>
  </si>
  <si>
    <t>Acct 224
Senior Unsecured Notes</t>
  </si>
  <si>
    <t>Acct 223 
LT Advances from Assoc. Companies</t>
  </si>
  <si>
    <t>Less: Acct 222 Reacquired Bonds</t>
  </si>
  <si>
    <t>Acct 221 
Bonds</t>
  </si>
  <si>
    <t>(DEBIT)  CREDIT</t>
  </si>
  <si>
    <t>COLUMN A</t>
  </si>
  <si>
    <t>COLUMN B</t>
  </si>
  <si>
    <t>COLUMN C</t>
  </si>
  <si>
    <t>COLUMN D</t>
  </si>
  <si>
    <t>COLUMN E</t>
  </si>
  <si>
    <t>COLUMN F</t>
  </si>
  <si>
    <t>COLUMN G</t>
  </si>
  <si>
    <t>COLUMN H</t>
  </si>
  <si>
    <t>COLUMN I</t>
  </si>
  <si>
    <t>COLUMN J</t>
  </si>
  <si>
    <t>COLUMN K</t>
  </si>
  <si>
    <t>COLUMN L</t>
  </si>
  <si>
    <t>COLUMN M</t>
  </si>
  <si>
    <t>COLUMN N</t>
  </si>
  <si>
    <t>COLUMN O</t>
  </si>
  <si>
    <t>PER BOOKS</t>
  </si>
  <si>
    <t>NON-APPLICABLE/NON-UTILITY</t>
  </si>
  <si>
    <t>AVERAGE</t>
  </si>
  <si>
    <t>FUNCTIONALIZATION AVERAGE</t>
  </si>
  <si>
    <t xml:space="preserve">ELECTRIC </t>
  </si>
  <si>
    <t>BALANCE AS</t>
  </si>
  <si>
    <t>UTILITY</t>
  </si>
  <si>
    <t>ACCUMULATED DEFERRED FIT ITEMS</t>
  </si>
  <si>
    <t>(B+C+D+E)/2</t>
  </si>
  <si>
    <t>GENERATION</t>
  </si>
  <si>
    <t>TRANSMISSION</t>
  </si>
  <si>
    <t>DISTRIBUTION</t>
  </si>
  <si>
    <t>ACCOUNT 281:</t>
  </si>
  <si>
    <t>TOTAL ACCOUNT 281</t>
  </si>
  <si>
    <t>ACCOUNT 282:</t>
  </si>
  <si>
    <t>TOTAL ACOUNT 282</t>
  </si>
  <si>
    <t>ACCOUNT 283:</t>
  </si>
  <si>
    <t>DEFD STATE INCOME TAXES</t>
  </si>
  <si>
    <t>TOTAL ACCOUNT 283</t>
  </si>
  <si>
    <t>JURISDICTIONAL AMOUNTS FUNCTIONALIZED</t>
  </si>
  <si>
    <t>TOTAL COMPANY AMOUNTS FUNCTIONALIZED</t>
  </si>
  <si>
    <t>REFUNCTIONALIZED BASED ON JURISDICTIONAL PLANT</t>
  </si>
  <si>
    <t>NOTE:  POST 1970 ACCUMULATED DEFERRED</t>
  </si>
  <si>
    <t xml:space="preserve">             INV TAX CRED. (JDITC) IN A/C 255</t>
  </si>
  <si>
    <t>TOTAL ACCOUNT 255</t>
  </si>
  <si>
    <t>DEBIT  (CREDIT)</t>
  </si>
  <si>
    <t>ACCOUNT 190:</t>
  </si>
  <si>
    <t>TOTAL ACCOUNT 190</t>
  </si>
  <si>
    <t>ACCOUNT 282 - ARO-Related Deferals</t>
  </si>
  <si>
    <t>ACCOUNT 283 - ARO-Related Deferals</t>
  </si>
  <si>
    <t>ACCOUNT 190 - ARO-Related Deferals</t>
  </si>
  <si>
    <t>ACCOUNT 281 - ARO-Related Deferrals</t>
  </si>
  <si>
    <t>UNFUNDED RESERVES (ENTER NEGATIVE) (NOTE Y)</t>
  </si>
  <si>
    <t>Tax Effect of Permanent and Flow-Through Differences</t>
  </si>
  <si>
    <t>323.197.b (Notes J and M)</t>
  </si>
  <si>
    <t>53a</t>
  </si>
  <si>
    <t>53b</t>
  </si>
  <si>
    <t>Real Estate and Personal Property Taxes Total
(Ln 4 + Ln 5 + Ln 6 + Ln 7)</t>
  </si>
  <si>
    <t>Transmission Function
(Note 2)</t>
  </si>
  <si>
    <t>Total
Company</t>
  </si>
  <si>
    <t>FERC FORM 1
Tie-Back</t>
  </si>
  <si>
    <t>Real Estate and Personal Propety Tax Detail 
Annual Tax Expenses by Type (Note 1)</t>
  </si>
  <si>
    <t>Unfunded Reserves Summary (Company Records)</t>
  </si>
  <si>
    <t>GP</t>
  </si>
  <si>
    <r>
      <t>NP</t>
    </r>
    <r>
      <rPr>
        <b/>
        <strike/>
        <sz val="12"/>
        <color indexed="10"/>
        <rFont val="Arial"/>
        <family val="2"/>
      </rPr>
      <t/>
    </r>
  </si>
  <si>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tax calculations that are not the result of a timing difference, including but not limited to depreciation related to capitalized AFUDC equity and meals and entertainment deductions. The Tax Effect of Flow-Through differences captures current tax expense related to timing differences on items for which tax deductions were used to reduce customer rates through the use of flow-through accounting in a prior period.  Transmission balances for the projected or actual period, will be filed and posted as part of the informational filing.</t>
  </si>
  <si>
    <t>Prepayment Balance Summary (Note 1)</t>
  </si>
  <si>
    <t>Stores Expense (Undistributed) - Account 163</t>
  </si>
  <si>
    <t>Account 4560015, Associated Business Development - (Company Records - Notes 1, 2)</t>
  </si>
  <si>
    <t>Account 456 - Other Electric Revenues - (Company Records - Notes 1,2)</t>
  </si>
  <si>
    <t>Note 1: The taxes assessed on each operating company can differ from year to year and between operating companies by both the type of taxes and the states in which they were assessed.  Therefore, for each company, the types and jurisdictions of tax expense recorded on this page could differ from the same page in the same company's prior year template or from this page in other operating companies' current year templates. For each update, this sheet will be revised to ensure that the total activity recorded hereon equals the total reported in account 408.1 on P. 114, Ln 14.(c) of the Ferc Form 1.</t>
  </si>
  <si>
    <t>Interest on Long Term Debt - Accts 221 - 224 (256-257.33.i)</t>
  </si>
  <si>
    <t>Amort of Debt Discount &amp; Expense - Acct 428 (117.63.c)</t>
  </si>
  <si>
    <t>Amort of Loss on Reacquired Debt - Acct 428.1 (117.64.c)</t>
  </si>
  <si>
    <t>Less: Amort of Premium on Debt - Acct 429 (117.65.c)</t>
  </si>
  <si>
    <t>Less: Amort of Gain on Reacquired Debt - Acct 429.1 (117.66.c)</t>
  </si>
  <si>
    <t>Worksheet K -  ATRR TRUE-UP Calculation for PJM Projects Charged to Benefiting Zones</t>
  </si>
  <si>
    <t>INDIANA MICHIGAN POWER COMPANY</t>
  </si>
  <si>
    <t>INDIANA</t>
  </si>
  <si>
    <t>MPSC</t>
  </si>
  <si>
    <t>IURC</t>
  </si>
  <si>
    <t>FACTOR  (4)</t>
  </si>
  <si>
    <t xml:space="preserve">  Land Improvements</t>
  </si>
  <si>
    <t xml:space="preserve">  Overhead Conductors</t>
  </si>
  <si>
    <t xml:space="preserve">  Trails &amp; Roads</t>
  </si>
  <si>
    <t xml:space="preserve">  (4) The rates approved for each jurisdiction are updated when approved by that commission.  These demand-based allocation factors for all jurisdictions are updated when new rates are approved in one of the jurisdictions.  These allocation factors reflect I&amp;M's 12 monthly Coincident Peaks during test year of the most recent rate case.</t>
  </si>
  <si>
    <t>I&amp;M falls under the authority of Indiana, Michigan and the FERC.  Therefore, I&amp;M's rates are a composite of the jurisdictions under which it operates. Each jurisdictions' rate is multiplied by an allocation factor, and the product for each jurisdiction is added with the other jurisdictions to derive the composite rate for the company.</t>
  </si>
  <si>
    <t>PJM FORMULA RATE</t>
  </si>
  <si>
    <t>WORKSHEET P - TRANSMISSION DEPRECIATION RATES</t>
  </si>
  <si>
    <t>EFFECTIVE AS OF 09/1/2016</t>
  </si>
  <si>
    <t>FOR SINGLE JURISDICTION COMPANIES</t>
  </si>
  <si>
    <t>KINGSPORT POWER COMPANY</t>
  </si>
  <si>
    <t xml:space="preserve">  Composite Transmission Depreciation Rate</t>
  </si>
  <si>
    <t>Reference:</t>
  </si>
  <si>
    <t>Note 1:   Rates Approved In Tennessee Regulatory Authority Docket No. 16-00001.</t>
  </si>
  <si>
    <t>Note 2:  Kingsport Power Company does not have investment in plant accounts 357 or 358.  Therefore, there are no depreciation rates approved for these plant accounts.</t>
  </si>
  <si>
    <t>General Note</t>
  </si>
  <si>
    <t>EFFECTIVE AS OF 07/1/2015</t>
  </si>
  <si>
    <t>KENTUCKY  POWER COMPANY</t>
  </si>
  <si>
    <t xml:space="preserve">  Land Rights</t>
  </si>
  <si>
    <t>Note 1:  Rates Approved in KPSC Case No. 2014-00396.</t>
  </si>
  <si>
    <t>OHIO POWER COMPANY</t>
  </si>
  <si>
    <t xml:space="preserve">   Twrs and Fixtures Above 69 KV</t>
  </si>
  <si>
    <t xml:space="preserve">   Twrs and Fixtures Below 69 KV</t>
  </si>
  <si>
    <t xml:space="preserve">   Poles and Fixtures Above 69 KV</t>
  </si>
  <si>
    <t xml:space="preserve">   Poles and Fixtures Below 69 KV</t>
  </si>
  <si>
    <t xml:space="preserve">   Overhead Conductor &amp; Devices Above 69KV</t>
  </si>
  <si>
    <t xml:space="preserve">   Overhead Conductor &amp; Devices MSP</t>
  </si>
  <si>
    <t xml:space="preserve">   Overhead Conductor &amp; Devices 138KV/Above</t>
  </si>
  <si>
    <t xml:space="preserve">   Overhead Conductor &amp; Devices 69KV/Below</t>
  </si>
  <si>
    <t xml:space="preserve">   Overhead Conductor &amp; Devices CLR 69KV/Below</t>
  </si>
  <si>
    <t>Note 1:   These are the weighted average of the depreciation rates in effect for</t>
  </si>
  <si>
    <t>Columbus Southern Power and Ohio Power prior to the merger of Columbus</t>
  </si>
  <si>
    <t>Southern into Ohio Power.</t>
  </si>
  <si>
    <t>General Note:</t>
  </si>
  <si>
    <t>WHEELING POWER COMPANY</t>
  </si>
  <si>
    <t>-</t>
  </si>
  <si>
    <t>Note 1:  Rates Approved in WV Public Service Commission Case No. 14-1151-E-D.</t>
  </si>
  <si>
    <t>GENERAL PLANT</t>
  </si>
  <si>
    <t>Structures &amp; Improvements</t>
  </si>
  <si>
    <t>Office Furniture &amp; Equipment</t>
  </si>
  <si>
    <t>Stores Equipment</t>
  </si>
  <si>
    <t>Tools Shop &amp; Garage Equipment</t>
  </si>
  <si>
    <t>Laboratory Equipment</t>
  </si>
  <si>
    <t>Communication Equipment</t>
  </si>
  <si>
    <t>Miscellaneous Equipment</t>
  </si>
  <si>
    <t>Total General Plant</t>
  </si>
  <si>
    <t>On this worksheet, "Company Records" refers to AEP's tax forecast and accounting ledger.  The PTRR will use projected ending balances and reflect proration required by IRS Letter Rule Section I.I67(I)-I(h)(6)(ii).  Line item detail of actual deferred tax items will be included on Worksheets B-1 and B-2.</t>
  </si>
  <si>
    <t>Tax Year 
Factor
(Note 2)</t>
  </si>
  <si>
    <t>SPECIFIED DEFERRED CREDITS - Actual Cycle Only</t>
  </si>
  <si>
    <t>ACCUMULATED DEFERRED INCOME TAX IN ACCOUNT 190 - Actual Cycle Only</t>
  </si>
  <si>
    <t>Twelve Months Ended</t>
  </si>
  <si>
    <t>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the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t>
  </si>
  <si>
    <r>
      <t>Transmission Plant Held For Future Use</t>
    </r>
    <r>
      <rPr>
        <b/>
        <sz val="10"/>
        <rFont val="Arial"/>
        <family val="2"/>
      </rPr>
      <t xml:space="preserve"> (Included in total on line 44)</t>
    </r>
  </si>
  <si>
    <t>AEP will make a 205 filing whenever a company's rates are changed by their commission(s), or if the methodology to calculate the jurisdictional allocator in multiple-state companies changes.   Changes in the allocation factors will not necessitate a 205 filing.</t>
  </si>
  <si>
    <t>Total AEP East Operating Company PBOP Settlement Amount</t>
  </si>
  <si>
    <t>Total Company Amount</t>
  </si>
  <si>
    <t>Actual Expense (Including AEPSC Billed OPEB)</t>
  </si>
  <si>
    <t>Ratio of Company Actual to Total</t>
  </si>
  <si>
    <t>Allocation of PBOB Recovery Allowance</t>
  </si>
  <si>
    <t>One Year Functional Expense (Over)/Under</t>
  </si>
  <si>
    <t>Allowable Expense</t>
  </si>
  <si>
    <t>Line#</t>
  </si>
  <si>
    <t>Actual Expense</t>
  </si>
  <si>
    <t>(B)=(A)/Total (A)</t>
  </si>
  <si>
    <t>(E)=(A) * (D)</t>
  </si>
  <si>
    <t>(F)=(C) * (D)</t>
  </si>
  <si>
    <t>(G)=(E) - (F)</t>
  </si>
  <si>
    <t>APCo</t>
  </si>
  <si>
    <t>I&amp;M</t>
  </si>
  <si>
    <t>KPCo</t>
  </si>
  <si>
    <t>KNGP</t>
  </si>
  <si>
    <t>OPCo</t>
  </si>
  <si>
    <t>WPCo</t>
  </si>
  <si>
    <t>KNGSPT</t>
  </si>
  <si>
    <t>AEP East Total</t>
  </si>
  <si>
    <t>Direct Charged PBOP Expense per Actuarial Report</t>
  </si>
  <si>
    <t>Additional PBOP Ledger Entries (from Company Records)</t>
  </si>
  <si>
    <t>Medicare Subsidy</t>
  </si>
  <si>
    <t>PBOP Expenses From AEP Service Corporation (from Company Records)</t>
  </si>
  <si>
    <t xml:space="preserve">For the rate year 2017 and adjusted every four years thereafter, using the annual actuarial report produced for that year, filed as part of the informational filing, Worksheet O will be used to adjust PBOP costs for the next four years (i.e. 2017, 2018, 2019, 2020).  If the annual actuarial report projects PBOP costs during the next four years, taken together with the then current cumulative PBOP cost/allowance position, will, absent a change in the PBOP allowance, cause the AEP Companies to over or under collect their cumulative PBOP costs by more than 20% of the projected next four year’s total cost, the PBOP allowance shall be adjusted. Worksheet O will be used in the process of updating the PBOP allowance determining (a)  the level of cumulative over or under collections during the period since the PBOP allowance was last set, including carrying costs based on the weighted average cost of capital (“WACC”) each year from the actual formula rate; (b) the cumulative net present value of projected PBOP costs during the next four years, as estimated by the then current actuarial report, assuming a discount rate equal to the actual formula rate weighted average cost of capital for the prior calendar year; and (c) the cumulative net present value of continued collections over the next four years based on the then effective PBOP allowance, assuming a discount rate equal to the prior year WACC.  If the absolute value of (a)+(b)-(c) exceeds 20% of (b), then the PBOP allowance used in the formula rate calculation shall be changed to the value that will cause the projected result (a)+(b)-(c) to equal zero.  If the projected over or under collection during the next four years will be less than 20% of (b), then the PBOP allowacance will continue in effect for the next four years at the then effective rate.  If it is determined through this procedure AEP Companies will over-recover or under-recover actual PBOP expenses by more than 20% over the subsequent four-year period, AEP shall make a filing under FPA Section 205 to change the PBOP expense stated in the formula rate shown on Worksheet O.  No other changes to the formula rate may be included in that filing. </t>
  </si>
  <si>
    <t>Worksheet O - Calculation of Postemployment Benefits Other than Pensions Expenses Allocable to Transmission Service</t>
  </si>
  <si>
    <t>Detail of Actual PBOP Expenses to be Removed in Cost of Service</t>
  </si>
  <si>
    <t>Acct. 9260039 PBOP Expense</t>
  </si>
  <si>
    <t xml:space="preserve">          Acct. 9260057 PBOP Medicare Subsidy</t>
  </si>
  <si>
    <t xml:space="preserve">               PBOP Expense Billed From AEPSC</t>
  </si>
  <si>
    <t xml:space="preserve">         Settlement Approved PBOP Recovery</t>
  </si>
  <si>
    <t>See note K above.  Per the settlement in Docket ER08-1329, recoverable PBOP expense is based on an annual total for the operating companies that is ratioed to them based on the total of actual annual PBOP costs, including charges from the AEP Service Corportation. The calculation of the recoverable amount for each company is shown on Worksheet O.</t>
  </si>
  <si>
    <t>PBOP Worksheet O, Col. C  (Note M)</t>
  </si>
  <si>
    <t>These deductions on lines 81 through 83 are to remove from the cost of service the expenses recorded by the company for Postemployment Benefits Other than Pensions (PBOP).  See Note M below for the recoverable PBOP expense.</t>
  </si>
  <si>
    <t xml:space="preserve">Average of the 13 Monthly Balances </t>
  </si>
  <si>
    <t>Average of the 13 Monthly Balances</t>
  </si>
  <si>
    <t>Note 2: The transmission functional amounts for any Real Estate and Property taxes listed on pages 263 of the FERC Form 1 will be allocated using the transmission functional allocator calculated for each state in Worksheet H of the applicable year that the taxes were assesed.  Real and Personal Property - Other Jurisdictions will be allocated using the Gross Plant Allocator from the applicable year.</t>
  </si>
  <si>
    <t>The cost of service will make a rate base adjustment to remove unfunded reserves associated with contingent liabilites recorded to Accounts 228.1-228.4 from rate base.</t>
  </si>
  <si>
    <t>Transmission Plant Balances in this study are projected or actual average of 13-month balances.</t>
  </si>
  <si>
    <t>Accum Prv I/D Worker's Com</t>
  </si>
  <si>
    <t>1650001</t>
  </si>
  <si>
    <t>Prepaid Insurance</t>
  </si>
  <si>
    <t>1650010</t>
  </si>
  <si>
    <t>Prepaid Pension Benefits</t>
  </si>
  <si>
    <t>1650014</t>
  </si>
  <si>
    <t>FAS 158 Qual Contra Asset</t>
  </si>
  <si>
    <t>Prepaid Insurance - EIS</t>
  </si>
  <si>
    <t>9280000</t>
  </si>
  <si>
    <t>Regulatory Commission Exp</t>
  </si>
  <si>
    <t>9302000</t>
  </si>
  <si>
    <t>Misc General Expenses</t>
  </si>
  <si>
    <t>9302003</t>
  </si>
  <si>
    <t>Corporate &amp; Fiscal Expenses</t>
  </si>
  <si>
    <t>9302004</t>
  </si>
  <si>
    <t>Research, Develop&amp;Demonstr Exp</t>
  </si>
  <si>
    <t>9302007</t>
  </si>
  <si>
    <t>Assoc Business Development Exp</t>
  </si>
  <si>
    <t>West Virginia Corporate Income Tax</t>
  </si>
  <si>
    <t>Apportionment Factor - Note 2</t>
  </si>
  <si>
    <t>Illinois Corporation Income Tax</t>
  </si>
  <si>
    <t>Michigan Business Income Tax</t>
  </si>
  <si>
    <t>Kentucky Business Income Tax</t>
  </si>
  <si>
    <t>Ohio Municipal Net Income Tax</t>
  </si>
  <si>
    <t>Ohio Franchise Tax Rate</t>
  </si>
  <si>
    <t>Phase-out Factor Note 1</t>
  </si>
  <si>
    <t>WEST VA JURISDICTION</t>
  </si>
  <si>
    <t>Real and Personal Property - Other</t>
  </si>
  <si>
    <t>SUN Cash Flow Hedge - 6.000%</t>
  </si>
  <si>
    <t>SUN Cash Flow Hedge - 5.375%</t>
  </si>
  <si>
    <t>OPCo Worksheet J -  ATRR PROJECTED Calculation for PJM Projects Charged to Benefiting Zones</t>
  </si>
  <si>
    <t>No</t>
  </si>
  <si>
    <r>
      <t xml:space="preserve">## </t>
    </r>
    <r>
      <rPr>
        <b/>
        <sz val="10"/>
        <rFont val="Arial"/>
        <family val="2"/>
      </rPr>
      <t>This is the calculation of  additional incentive revenue on projects deemed by the FERC to be eligible for an incentive return.  This</t>
    </r>
  </si>
  <si>
    <t>Prepaid Taxes</t>
  </si>
  <si>
    <t>1650021</t>
  </si>
  <si>
    <t>Prepaid Taxes - Distribution</t>
  </si>
  <si>
    <t>Prefunded Pension Expense</t>
  </si>
  <si>
    <t>RTEP ID: b1864.2 (West Bellaire-Brues 138kV Circuit)</t>
  </si>
  <si>
    <t>SFAS 158 Offsett</t>
  </si>
  <si>
    <t>EIS Insurance</t>
  </si>
  <si>
    <t>Medical Benefits</t>
  </si>
  <si>
    <t>Muni B&amp;O Tax</t>
  </si>
  <si>
    <t>RTEP ID:  B1864.2 (West Bellaire-Brues 138kV Circuit)</t>
  </si>
  <si>
    <t>Capital Structure Equity Limit (Note Z)</t>
  </si>
  <si>
    <t>Capital Structure Percentages</t>
  </si>
  <si>
    <t>Cap Limit</t>
  </si>
  <si>
    <t>Z</t>
  </si>
  <si>
    <t xml:space="preserve">Per the settlement in EL17-13, equity is limited to 55% in of the Company's capital structure.  If the percentage of actual equity exceeds the cap, the excess is included as long term debt in the capital structure.  </t>
  </si>
  <si>
    <t>9280001</t>
  </si>
  <si>
    <t>9280002</t>
  </si>
  <si>
    <t>9280005</t>
  </si>
  <si>
    <t>Regulatory Commission Exp-Adm</t>
  </si>
  <si>
    <t>Regulatory Commission Exp-Case</t>
  </si>
  <si>
    <t>Reg Com Exp-FERC Trans Cases</t>
  </si>
  <si>
    <t>9301001</t>
  </si>
  <si>
    <t>9301010</t>
  </si>
  <si>
    <t>9301012</t>
  </si>
  <si>
    <t>9301015</t>
  </si>
  <si>
    <t>Newspaper Advertising Space</t>
  </si>
  <si>
    <t>Publicity</t>
  </si>
  <si>
    <t>Public Opinion Surveys</t>
  </si>
  <si>
    <t>Other Corporate Comm Exp</t>
  </si>
  <si>
    <t>TX AMORT POLLUTION CONT EQPT</t>
  </si>
  <si>
    <t xml:space="preserve">NON-UTILITY DEFERRED FIT </t>
  </si>
  <si>
    <t>SFAS 109 FLOW-THRU 281.3</t>
  </si>
  <si>
    <t>SFAS 109 EXCESS DFIT 281.4</t>
  </si>
  <si>
    <t>BOOK VS. TAX DEPRECIATION</t>
  </si>
  <si>
    <t>CAPD INTEREST - SECTION 481(a) - CHANGE IN METHD</t>
  </si>
  <si>
    <t>R &amp; D DEDUCTION - SECTION 174</t>
  </si>
  <si>
    <t>RELOCATION COST - SECTION 481(a) - CHANGE IN METH</t>
  </si>
  <si>
    <t>BK PLANT IN SERVICE-SFAS 143-ARO</t>
  </si>
  <si>
    <t>NORMALIZED BASIS DIFFS - TRANSFERRED PLANTS</t>
  </si>
  <si>
    <t>DFIT GENERATION PLANT</t>
  </si>
  <si>
    <t>GAIN/LOSS ON ACRS/MACRS PROPERTY</t>
  </si>
  <si>
    <t>GAIN/LOSS ON ACRS/MACRS-BK/TX UNIT PROP</t>
  </si>
  <si>
    <t>ABFUDC</t>
  </si>
  <si>
    <t>BOOK/TAX UNIT OF PROPERTY ADJ</t>
  </si>
  <si>
    <t>BK/TAX UNIT OF PROPERTY ADJ-SEC 481 ADJ</t>
  </si>
  <si>
    <t>BOOK/TAX UNIT OF PROPERTY ADJ: AGR TRANSFER</t>
  </si>
  <si>
    <t>BK/TX UNIT OF PROPERTY ADJ-SEC 481 ADJ: AGR TRANSFER</t>
  </si>
  <si>
    <t>SEC 481 PENS/OPEB ADJUSTMENT</t>
  </si>
  <si>
    <t>TX ACCEL AMORT - CAPITALIZED SOFTWARE</t>
  </si>
  <si>
    <t>CAPITALIZED RELOCATION COSTS</t>
  </si>
  <si>
    <t>EXTRAORDINARY LOSS ON DISP OF PROP</t>
  </si>
  <si>
    <t>EXCESS ADFIT</t>
  </si>
  <si>
    <t>SFAS 109 FLOW-THRU 282.3</t>
  </si>
  <si>
    <t>SFAS 109 EXCESS DFIT 282.4</t>
  </si>
  <si>
    <t>ACCRUED BK PENSION EXPENSE</t>
  </si>
  <si>
    <t>ACCRUED BK PENSION COSTS - SFAS 158</t>
  </si>
  <si>
    <t>SW - UNDER RECOVERY FUEL COST</t>
  </si>
  <si>
    <t>PROP TX-STATE 2 OLD METHOD-TX</t>
  </si>
  <si>
    <t>MTM BK GAIN - A/L - TAX DEFL</t>
  </si>
  <si>
    <t>MARK &amp; SPREAD - DEFL - 283 A/L</t>
  </si>
  <si>
    <t>BOOK &gt; TAX - EMA - A/C 283</t>
  </si>
  <si>
    <t>DEFD TAX GAIN - EPA AUCTION</t>
  </si>
  <si>
    <t>DEFD BOOK GAIN-EPA AUCTION</t>
  </si>
  <si>
    <t xml:space="preserve">REG ASSET-REGULATORY ADJ-MITCHELL PLANT </t>
  </si>
  <si>
    <t>REG ASSET-SFAS 143 - ARO</t>
  </si>
  <si>
    <t>REG ASSET-SFAS 158 - PENSIONS</t>
  </si>
  <si>
    <t>REG ASSET-DEFD SEVERANCE COSTS</t>
  </si>
  <si>
    <t>REG ASSET-CARRYING CHARGES-WV VMP</t>
  </si>
  <si>
    <t>REG ASSET-DEFD DEPREC-WV VEG MGT PROG</t>
  </si>
  <si>
    <t>REG ASSET-CAR CHGS-WV VMP-UNREC EQ</t>
  </si>
  <si>
    <t>REG ASSET-WV BASE REVENUES</t>
  </si>
  <si>
    <t>REG ASSET-WV BASE REVENUES-CAR CHGS</t>
  </si>
  <si>
    <t>REG ASSET-CAR CHGS-WV VMP RESERVE</t>
  </si>
  <si>
    <t>REG ASSET-WV EE/DR-COMPANY FUNDED</t>
  </si>
  <si>
    <t>REG ASSET-WV PROV SURCREDIT-SPEC CTRCT</t>
  </si>
  <si>
    <t>BOOK LEASES CAPITALIZED FOR TAX</t>
  </si>
  <si>
    <t>CAPITALIZED SOFTWARE COST - BOOK</t>
  </si>
  <si>
    <t>POST RETIREMENT BEN - PAYMENT</t>
  </si>
  <si>
    <t>DEFD SFAS 106 BOOK COSTS</t>
  </si>
  <si>
    <t>SFAS 106-MEDICARE SUBSIDY-(PPACA)-REG ASSET</t>
  </si>
  <si>
    <t>REG ASSET - ACCRUED SFAS 112</t>
  </si>
  <si>
    <t>SFAS 109 FLOW-THRU 283.3</t>
  </si>
  <si>
    <t>SFAS 109 EXCESS DFIT 283.4</t>
  </si>
  <si>
    <t>SFAS 133 ADIT FED - SFAS 133 NONAFFIL 2830006</t>
  </si>
  <si>
    <t>SFAS 109 - DEFD STATE INCOME TAXES</t>
  </si>
  <si>
    <t>DEFERRED ITC - 46(F)(1)</t>
  </si>
  <si>
    <t>NOL &amp; TAX CREDIT C/F - DEF TAX ASSET</t>
  </si>
  <si>
    <t>IGCC REVENUES</t>
  </si>
  <si>
    <t>INT EXP CAPITALIZED FOR TAX</t>
  </si>
  <si>
    <t>CIAC - BOOK RECEIPTS</t>
  </si>
  <si>
    <t>SW OVER RECOVERY OF FUEL</t>
  </si>
  <si>
    <t>SW UNDER RECOVERY OF FUEL</t>
  </si>
  <si>
    <t>PROVS POSS REV REFDS</t>
  </si>
  <si>
    <t>PROV WORKER'S COMP</t>
  </si>
  <si>
    <t>ACCRUED PSI PLAN EXP</t>
  </si>
  <si>
    <t>BK PROV UNCOLL ACCTS</t>
  </si>
  <si>
    <t>MARK &amp; SPREAD-DEFL-190-A/L</t>
  </si>
  <si>
    <t>PROV-TRADING CREDIT RISK - A/L</t>
  </si>
  <si>
    <t>PROV-FAS 157 - A/L</t>
  </si>
  <si>
    <t>ACCRD COMPANYWIDE INCENTV PLAN</t>
  </si>
  <si>
    <t>ACCRUED BOOK VACATION PAY</t>
  </si>
  <si>
    <t>ACCRUED BK SEVERANCE BENEFITS</t>
  </si>
  <si>
    <t>ACCRUED INTEREST-LONG-TERM - FIN 48</t>
  </si>
  <si>
    <t>FEDERAL MITIGATION PROGRAMS</t>
  </si>
  <si>
    <t xml:space="preserve">STATE MITIGATION PROGRAMS </t>
  </si>
  <si>
    <t>TAX &gt; BOOK BASIS - EMA-A/C 190</t>
  </si>
  <si>
    <t>DEFD TX LOSS-INTERCO SALE-EMA</t>
  </si>
  <si>
    <t>ADVANCE RENTAL INC (CUR MO)</t>
  </si>
  <si>
    <t>DEFD REV-BONUS LEASE SHORT-TERM</t>
  </si>
  <si>
    <t>DEFD REV-BONUS LEASE LONG-TERM</t>
  </si>
  <si>
    <t>REG LIAB-UNREAL MTM GAIN-DEFL</t>
  </si>
  <si>
    <t>CAPITALIZED SOFTWARE COSTS-TAX</t>
  </si>
  <si>
    <t>ACCRD SFAS 106 PST RETIRE EXP</t>
  </si>
  <si>
    <t>SFAS 106 PST RETIRE EXP - NON-DEDUCT CONT</t>
  </si>
  <si>
    <t>ACCRD SFAS 112 PST EMPLOY BEN</t>
  </si>
  <si>
    <t>ACCRD OPEB COSTS - SFAS 158</t>
  </si>
  <si>
    <t>ACCRD BOOK ARO EXPENSE - SFAS 143</t>
  </si>
  <si>
    <t>FIN 48 - DEFD STATE INCOME TAXES</t>
  </si>
  <si>
    <t>ACCRD SIT/FRANCHISE TAX RESERVE</t>
  </si>
  <si>
    <t>ACCRD SIT TX RESERVE-LNG-TERM-FIN 48</t>
  </si>
  <si>
    <t>ACCRD SIT TX RESERVE-SHRT-TERM-FIN 48</t>
  </si>
  <si>
    <t>1991-1996 IRS AUDIT SETTLEMENT</t>
  </si>
  <si>
    <t>IRS CAPITALIZATION ADJUSTMENT</t>
  </si>
  <si>
    <t>RESTRICTED STOCK PLAN</t>
  </si>
  <si>
    <t>NON-UTILITY DEFERRED FIT</t>
  </si>
  <si>
    <t>SFAS 109 FLOW-THRU 190.3</t>
  </si>
  <si>
    <t>SFAS 109 EXCESS DFIT 190.4</t>
  </si>
  <si>
    <t>SFAS 133 ADIT FED - Non-UMWA PRW OCI 1900011</t>
  </si>
  <si>
    <t>ADIT FED - PENSION OCI NAF 1900009</t>
  </si>
  <si>
    <t>2282003</t>
  </si>
  <si>
    <t>Rate Case Amort</t>
  </si>
  <si>
    <t>BOOK OPERATING LEASE - ASSET</t>
  </si>
  <si>
    <t>481 a BONUS DEPRECIATION</t>
  </si>
  <si>
    <t>BOOK OPERATING LEASE - LIAB</t>
  </si>
  <si>
    <t>TAX DEPRECIATION LOOKBACK</t>
  </si>
  <si>
    <t xml:space="preserve"> GENERAL PLANT</t>
  </si>
  <si>
    <t>Transportation Equipment</t>
  </si>
  <si>
    <t>Power Operated Equipment</t>
  </si>
  <si>
    <t>WHEELING POWER COMPANY, INC.</t>
  </si>
  <si>
    <t>Worksheet B-3</t>
  </si>
  <si>
    <t>Excess/ Deficient ADIT Worksheet for Total Company and Functional Balances</t>
  </si>
  <si>
    <t>Debit/(Credit)</t>
  </si>
  <si>
    <t xml:space="preserve">I </t>
  </si>
  <si>
    <t xml:space="preserve">J </t>
  </si>
  <si>
    <t>TOTAL COMPANY BALANCES</t>
  </si>
  <si>
    <t>Balance Sheet Entries</t>
  </si>
  <si>
    <t>Tax Expense Entries</t>
  </si>
  <si>
    <t xml:space="preserve">Line No. </t>
  </si>
  <si>
    <t>Description of Account</t>
  </si>
  <si>
    <t>Protected
Unprotected</t>
  </si>
  <si>
    <t>Tax Rate Change Act</t>
  </si>
  <si>
    <t>Amotization Period</t>
  </si>
  <si>
    <t>Balance Sheet Account Reclassifications</t>
  </si>
  <si>
    <t>410/411 Deferred Tax Expense/ (Benefit)</t>
  </si>
  <si>
    <t>Reference</t>
  </si>
  <si>
    <t>Sum of Cols (I) - (O)</t>
  </si>
  <si>
    <t>Deferred Tax Account (NOTE B)</t>
  </si>
  <si>
    <t>1a</t>
  </si>
  <si>
    <r>
      <t>190</t>
    </r>
    <r>
      <rPr>
        <sz val="9"/>
        <color rgb="FFFF0000"/>
        <rFont val="Arial"/>
        <family val="2"/>
      </rPr>
      <t>4</t>
    </r>
    <r>
      <rPr>
        <sz val="9"/>
        <rFont val="Arial"/>
        <family val="2"/>
      </rPr>
      <t>001</t>
    </r>
  </si>
  <si>
    <t xml:space="preserve">ADFIT - FAS 109 Excess </t>
  </si>
  <si>
    <t>N/A</t>
  </si>
  <si>
    <t>TCJA 2017</t>
  </si>
  <si>
    <t>1b</t>
  </si>
  <si>
    <r>
      <t>281</t>
    </r>
    <r>
      <rPr>
        <sz val="9"/>
        <color rgb="FFFF0000"/>
        <rFont val="Arial"/>
        <family val="2"/>
      </rPr>
      <t>1</t>
    </r>
    <r>
      <rPr>
        <sz val="9"/>
        <rFont val="Arial"/>
        <family val="2"/>
      </rPr>
      <t>001</t>
    </r>
  </si>
  <si>
    <t>ADFIT - Accel Amortization Property</t>
  </si>
  <si>
    <t>Protected</t>
  </si>
  <si>
    <t>1c</t>
  </si>
  <si>
    <r>
      <t>281</t>
    </r>
    <r>
      <rPr>
        <sz val="9"/>
        <color rgb="FFFF0000"/>
        <rFont val="Arial"/>
        <family val="2"/>
      </rPr>
      <t>4</t>
    </r>
    <r>
      <rPr>
        <sz val="9"/>
        <rFont val="Arial"/>
        <family val="2"/>
      </rPr>
      <t>001</t>
    </r>
  </si>
  <si>
    <t>ADFIT - Accel Amort FAS 109 Excess</t>
  </si>
  <si>
    <t>1d</t>
  </si>
  <si>
    <r>
      <t>282</t>
    </r>
    <r>
      <rPr>
        <sz val="9"/>
        <color rgb="FFFF0000"/>
        <rFont val="Arial"/>
        <family val="2"/>
      </rPr>
      <t>1</t>
    </r>
    <r>
      <rPr>
        <sz val="9"/>
        <rFont val="Arial"/>
        <family val="2"/>
      </rPr>
      <t>001</t>
    </r>
  </si>
  <si>
    <t>ADFIT - Utility Property</t>
  </si>
  <si>
    <t>ARAM</t>
  </si>
  <si>
    <t>Life of Asset</t>
  </si>
  <si>
    <t>1e</t>
  </si>
  <si>
    <t>Unprotected</t>
  </si>
  <si>
    <t>10 Years</t>
  </si>
  <si>
    <t>1/2018 - 12/2027</t>
  </si>
  <si>
    <t>1f</t>
  </si>
  <si>
    <r>
      <t>282</t>
    </r>
    <r>
      <rPr>
        <sz val="9"/>
        <color rgb="FFFF0000"/>
        <rFont val="Arial"/>
        <family val="2"/>
      </rPr>
      <t>4</t>
    </r>
    <r>
      <rPr>
        <sz val="9"/>
        <rFont val="Arial"/>
        <family val="2"/>
      </rPr>
      <t>001</t>
    </r>
  </si>
  <si>
    <t>ADFIT - Utility Property FAS 109 Excess</t>
  </si>
  <si>
    <t>1g</t>
  </si>
  <si>
    <t>1h</t>
  </si>
  <si>
    <r>
      <t>283</t>
    </r>
    <r>
      <rPr>
        <sz val="9"/>
        <color rgb="FFFF0000"/>
        <rFont val="Arial"/>
        <family val="2"/>
      </rPr>
      <t>1</t>
    </r>
    <r>
      <rPr>
        <sz val="9"/>
        <rFont val="Arial"/>
        <family val="2"/>
      </rPr>
      <t>001</t>
    </r>
  </si>
  <si>
    <t>ADFIT - Other Utility Deferrals</t>
  </si>
  <si>
    <t>1i</t>
  </si>
  <si>
    <r>
      <t>283</t>
    </r>
    <r>
      <rPr>
        <sz val="9"/>
        <color rgb="FFFF0000"/>
        <rFont val="Arial"/>
        <family val="2"/>
      </rPr>
      <t>4</t>
    </r>
    <r>
      <rPr>
        <sz val="9"/>
        <rFont val="Arial"/>
        <family val="2"/>
      </rPr>
      <t>001</t>
    </r>
  </si>
  <si>
    <t>ADFIT - Other FAS 109 Excess</t>
  </si>
  <si>
    <t>1j</t>
  </si>
  <si>
    <t>Regulatory Deferral Accounts</t>
  </si>
  <si>
    <t>2a</t>
  </si>
  <si>
    <t xml:space="preserve">Regulatory Asset  </t>
  </si>
  <si>
    <t xml:space="preserve"> Company Records</t>
  </si>
  <si>
    <t>2b</t>
  </si>
  <si>
    <t>Regulatory Liability</t>
  </si>
  <si>
    <t>2c</t>
  </si>
  <si>
    <t>TRANSMISSION FUNCTION BALANCES</t>
  </si>
  <si>
    <t>4a</t>
  </si>
  <si>
    <t>4b</t>
  </si>
  <si>
    <t>4c</t>
  </si>
  <si>
    <t>4d</t>
  </si>
  <si>
    <t>4e</t>
  </si>
  <si>
    <t>4f</t>
  </si>
  <si>
    <t>4g</t>
  </si>
  <si>
    <t>4h</t>
  </si>
  <si>
    <t>5c</t>
  </si>
  <si>
    <t>NOTE A</t>
  </si>
  <si>
    <t>NOTE B:</t>
  </si>
  <si>
    <t>The amount of the FIT gross up to recorded on regulatory assets and liabilities will be reported on the first line of ADIT accounts provided for each specific change in tax rates.</t>
  </si>
  <si>
    <t>NOTE C:</t>
  </si>
  <si>
    <t>NOTE D:</t>
  </si>
  <si>
    <t>NOTE E:</t>
  </si>
  <si>
    <t>NOL-STATE C/F-DEF STATE TAX ASSET-L/T 190.1002</t>
  </si>
  <si>
    <t>NOTE E</t>
  </si>
  <si>
    <t>GENERAL NOTE:  ADIT Tax balances provided in the formula presented in Attachment H-14B are maintained on both a total company and transmission functional basis. Because both sets of numbers are presented in the formula, the information for excess and deficient ADIT is also presented for both total company and the transmission function on this worksheet.  Account 281 only applies to the generation function, so is not presented in the transmission functional summary.</t>
  </si>
  <si>
    <t>NOTE F:</t>
  </si>
  <si>
    <t>9280003</t>
  </si>
  <si>
    <t>EFFECTIVE AS OF 4/1/2012</t>
  </si>
  <si>
    <t>EFFECTIVE AS OF 3/1/2019</t>
  </si>
  <si>
    <t>Muni Business &amp; Occupation Tax</t>
  </si>
  <si>
    <t>State B&amp;O Tax</t>
  </si>
  <si>
    <t>WS B - 1 Col C/D, ADIT item 2.06</t>
  </si>
  <si>
    <t>2018 Forecasted Revenue Requirement For Year 2018</t>
  </si>
  <si>
    <t>An over or under collection will be recovered prorata over 2018, held for 2019 and returned prorate over 2020</t>
  </si>
  <si>
    <t>Other Prepayments</t>
  </si>
  <si>
    <t>Video Communications</t>
  </si>
  <si>
    <t>9301014</t>
  </si>
  <si>
    <t>9302017</t>
  </si>
  <si>
    <t>INSURANCE PREMIUMS ACCRUED</t>
  </si>
  <si>
    <t>EMPLOYER SAVINGS PLAN MATCH</t>
  </si>
  <si>
    <t>FICA - NON-CUURENT</t>
  </si>
  <si>
    <t>IRS AUDIT SETTLEMENT</t>
  </si>
  <si>
    <t>Accrued COVID-19 Incremental Costs - non-TX</t>
  </si>
  <si>
    <t>NOL-STATE C/F-DEF TAX ASSET-L/T - MI</t>
  </si>
  <si>
    <t>RATE CASE DEFD CHGS</t>
  </si>
  <si>
    <t>282 EXCESS ADJUSTMENT</t>
  </si>
  <si>
    <t>WS B - 1 Cols M+N+O , ADIT Item 5.24</t>
  </si>
  <si>
    <t>WS B - 1 Col N, ADIT Item 5.24</t>
  </si>
  <si>
    <t xml:space="preserve">  (1) As approved in VA Case No. PUE 2020-00015 on Nov. 24, 2020</t>
  </si>
  <si>
    <t>Approved by FERC March 2, 1990 in Docket ER90-132</t>
  </si>
  <si>
    <t xml:space="preserve">        Depreciation rates were made effective on January 1, 2020.</t>
  </si>
  <si>
    <t>Approved by FERC March 2, 1990 in Docket ER90-133</t>
  </si>
  <si>
    <t xml:space="preserve"> (2)  Approved by PSC of WV Order dated 2/27/2019 in</t>
  </si>
  <si>
    <t xml:space="preserve">        Case No. 18-0645-E-D effective 03/06/2019.</t>
  </si>
  <si>
    <t>Distribution Plant (recorded by state) is assigned only to</t>
  </si>
  <si>
    <t>jurisdictions within each state.</t>
  </si>
  <si>
    <t>EFFECTIVE AS OF 1/1/2020</t>
  </si>
  <si>
    <t>MICHIGAN AND FERC</t>
  </si>
  <si>
    <t>$0 at Dec 2018 - use old rate</t>
  </si>
  <si>
    <t>53c</t>
  </si>
  <si>
    <t>Accm Prv I/D - Asbestos - Curr</t>
  </si>
  <si>
    <t>Accm Prv I/D - Asbestos</t>
  </si>
  <si>
    <t>2282011</t>
  </si>
  <si>
    <t>2282012</t>
  </si>
  <si>
    <t>EFFECTIVE AS OF MARCH 11, 2020</t>
  </si>
  <si>
    <t>(1) As approved in Indiana Cause No. 45235 effective March 11, 2020.</t>
  </si>
  <si>
    <t>(2) As approved in Michigan Case No. U-20359 effective February 1, 2020.</t>
  </si>
  <si>
    <t>(3) FERC wholesale formula rate agreements specify that the depreciation rates in the formula rates change upon approval of MPSC rates in the Michigan jurisdiction.</t>
  </si>
  <si>
    <t>165000219</t>
  </si>
  <si>
    <t>165000220</t>
  </si>
  <si>
    <t>165000221</t>
  </si>
  <si>
    <t>1650006</t>
  </si>
  <si>
    <t>1650035</t>
  </si>
  <si>
    <t>PRW Without MED-D Benefits</t>
  </si>
  <si>
    <t>1650037</t>
  </si>
  <si>
    <t>FAS158 Contra-PRW Exclud Med-D</t>
  </si>
  <si>
    <t>SellingPrice Normalization Exp</t>
  </si>
  <si>
    <t>Accum Deferred FIT-TBBS 190.6</t>
  </si>
  <si>
    <t>Accum Defd Property FIT - TBBS 282.6</t>
  </si>
  <si>
    <t>Accum Defd Other FIT-TBBS 283.6</t>
  </si>
  <si>
    <t>Appalachian Power Company</t>
  </si>
  <si>
    <t>NOL ADJUSTMENT</t>
  </si>
  <si>
    <t>NOL CONTRA</t>
  </si>
  <si>
    <t>282-ACCUM DEFD FEDERAL TBBS ADJ</t>
  </si>
  <si>
    <t>EXCESS DSIT - UNPROTECTED WV</t>
  </si>
  <si>
    <t>REG ASSET-WV MRBC Surcharge Under Recov</t>
  </si>
  <si>
    <t>REG ASSET-FERC Formula Rates Under Recvr</t>
  </si>
  <si>
    <t>283-ACCUM DEFD FEDERAL TBBS ADJ</t>
  </si>
  <si>
    <t>NOL - DEFERRED TAX ASSET RECLASS</t>
  </si>
  <si>
    <t>NON-UTILITY DEFERRED SIT</t>
  </si>
  <si>
    <t>Accum Deferred SIT - Excess</t>
  </si>
  <si>
    <t>pg. 263, Ln. 41(i)</t>
  </si>
  <si>
    <t>pg. 263, Ln. 42(i)</t>
  </si>
  <si>
    <t>pg. 263, Ln. 9(i)</t>
  </si>
  <si>
    <t>pg. 263, Ln. 10(i)</t>
  </si>
  <si>
    <t xml:space="preserve">Long Term Debt cost rate = long-term interest (ln 145) /average long term debt (ln 154). Preferred Stock cost rate = preferred dividends (ln 146) /preferred outstanding (ln 155). </t>
  </si>
  <si>
    <t xml:space="preserve">Common Stock cost rate (ROE) = 10.35%, per the settlement in FERC Docket No. EL17-13. It includes an additional 50 basis points for PJM RTO membership. </t>
  </si>
  <si>
    <t>The amount of eligible hedging gains or losses included in total interest expense is limited to five basis points of the capital structure. Details and calculations of the weighted average cost of capital are shown on Worksheet M. Eligible Hedging Gains and Losses are computed on Worksheet M. The unamortized balance of eligible hedge gains/losses and related ADIT amounts shall not flow through the formula rate.</t>
  </si>
  <si>
    <t>AEP EAST OPERATING COMPANIES</t>
  </si>
  <si>
    <t>Docket ER20-1886-000</t>
  </si>
  <si>
    <t>Compliance Filing</t>
  </si>
  <si>
    <t>ATTACHMENT H-14B</t>
  </si>
  <si>
    <t>Attachment 4</t>
  </si>
  <si>
    <t>WORKSHEET B-3-A</t>
  </si>
  <si>
    <t>Page 6 of 6</t>
  </si>
  <si>
    <t>TAX REMEASUREMENT WORKSHEET</t>
  </si>
  <si>
    <t>TAX CUT and JOBS ACT of  2017</t>
  </si>
  <si>
    <t>k</t>
  </si>
  <si>
    <t>F=E/C</t>
  </si>
  <si>
    <t>H = E +G</t>
  </si>
  <si>
    <t>J = C - H</t>
  </si>
  <si>
    <t>Line No.</t>
  </si>
  <si>
    <t xml:space="preserve">Utility Account </t>
  </si>
  <si>
    <t>12/31/17 Pre-remeasurement Balance</t>
  </si>
  <si>
    <t>Remeasurement Amount (NOTE 1)</t>
  </si>
  <si>
    <t>Remeasurement Percentage (NOTE 2)</t>
  </si>
  <si>
    <t>Adjustments (NOTE 3)</t>
  </si>
  <si>
    <t>Total Excess/Deficiency by Account (NOTE 4)</t>
  </si>
  <si>
    <t>Protected / Unprotected</t>
  </si>
  <si>
    <t>ADIT Deferral After Remesasurement</t>
  </si>
  <si>
    <t>TOTAL COMPANY</t>
  </si>
  <si>
    <t>1901001</t>
  </si>
  <si>
    <t>2018 FF1 P. 234 Col (b) Line 8</t>
  </si>
  <si>
    <t>2811001</t>
  </si>
  <si>
    <t>2018 FF1 P. 272 Col (b) Line 8</t>
  </si>
  <si>
    <t>2821001</t>
  </si>
  <si>
    <t>2018 FF1 P. 274 Col (b) Line 5</t>
  </si>
  <si>
    <t xml:space="preserve">Unprotected </t>
  </si>
  <si>
    <t>283 - Utility</t>
  </si>
  <si>
    <t>2018 FF1 P. 276 Col (b) Line 9</t>
  </si>
  <si>
    <t>Less: Accrued Deferred State Tax</t>
  </si>
  <si>
    <t>2831001</t>
  </si>
  <si>
    <t>(Sum of Lns. 1+2+3+6)</t>
  </si>
  <si>
    <t>TRANSMISSION FUNCTION</t>
  </si>
  <si>
    <t>(Sum of Lns. 9+10+11)</t>
  </si>
  <si>
    <t xml:space="preserve">GENERAL NOTE:  This worksheet will summarize remeasurement adjustments in ADIT Accounts for both the total company and transmission function required by changes in either Federal or State Income Tax Rates.  A new sheet will be included in the working formula for each change to tax rates that may occur while this formula rate is in effect. New pages will be designated by incrementing the suffix letter in the workpaper name (i.e. B-3-A, B-3-B, etc.) </t>
  </si>
  <si>
    <t>NOTE 1:</t>
  </si>
  <si>
    <t xml:space="preserve">Amount of remeasurement in Column E will be based on supporting workpapers showing the remeasurement of individual ADIT items in each tax deferral account, and will indicate whether each remeasured ADIT item will be treated as protected or unprotected.  The resulting totals will be shown on this worksheet for each ADIT account. </t>
  </si>
  <si>
    <t>NOTE 2:</t>
  </si>
  <si>
    <t xml:space="preserve">Remeasurement calculation may not equal 40% of the December 31, 2017  deferral balance because of specific ADIT items that are not subject to remeasurement. </t>
  </si>
  <si>
    <t>NOTE 3:</t>
  </si>
  <si>
    <t>As part of the remeasurement calculation, the remeasurement ADIT balances in account 1901001 were reclassed to account 2831001 to group nonproperty utility deferrals together as one timing difference.</t>
  </si>
  <si>
    <t>NOTE 4</t>
  </si>
  <si>
    <t>Ties to each Operating Company's Workpaper B-3, Column F, showing the intial remeasurement value determined as a result of the Tax Cut and Jobs Act of 2017.</t>
  </si>
  <si>
    <t xml:space="preserve">In order to ensure rate base neutrality, AEP utilizes the fourth digit of its seven digit FERC Tax subaccount numbers to identify balances associated with utility operations vs regulatory reporting requirements.  A "1" in the fourth digit of a FERC deferred tax account refers to the utility operations balance or entry.  Accounts with the "1" designation will be included in the determination of rate base to be recovered in the formula rate.   A "4" in the four place of the account number indicates accounts used to track regulatory accounting requirements.  The excess ADIT amounts recorded in accounts with the  "4" designation will be contra to the "1" balance, which will ensure that in the formula rate the excess amount will be part of rate base, but at the total FERC account level the tax asset or liability will be recorded at the current Federal FIT rate.  The amounts recorded in 4 will be offset on a net basis in the regulatory asset or liability account established for this purpose. </t>
  </si>
  <si>
    <t xml:space="preserve">The ten year amortization period for unprotected excess ADIT is consistent with the period agreed upon by the Company and its customers and approved for the Company's PJM formula rates. Appalachian Power Company, et al, 166 FERC ¶ 61,135 (2019). </t>
  </si>
  <si>
    <t>In the event of future tax rate changes, additional lines will be inserted as required to reflect any new ADIT or regulatory deferral accounts that may be necessary to track that tax rate change.</t>
  </si>
  <si>
    <t>The amount of excess amortization entries shown in lines 1a through 1_  are shown as a debit or credit to the ADIT account from which it is being amortized.  The total in line # is the offset as charged to the 410/411 account. This total amount of amortization is then reported in line 24a of the TCOS.</t>
  </si>
  <si>
    <t xml:space="preserve">Deficient remeasurement amounts will be recorded in 410.1 as a debit (expense) to cost of service,, excess remeasurement amounts will be recorded in 411.1 as credit to cost of service. </t>
  </si>
  <si>
    <t>NOTE D</t>
  </si>
  <si>
    <t>Utility Account (NOTE A)</t>
  </si>
  <si>
    <t xml:space="preserve">Excess / Deficient Balance at Remeasurement </t>
  </si>
  <si>
    <t>Amortization Methodology (NOTE C)</t>
  </si>
  <si>
    <t>Excess / Deficient ADIT Regulatory  Offset</t>
  </si>
  <si>
    <t>Excess / Deficient ADIT in Utility Deferrals</t>
  </si>
  <si>
    <t xml:space="preserve">410/411 Excess / Deficient Amortization NOTE C/NOTE F
</t>
  </si>
  <si>
    <t>Excess/ Deficient ADIT Regulatory  Offset</t>
  </si>
  <si>
    <t>Excess /  Deficient ADIT in Utility Deferrals</t>
  </si>
  <si>
    <t>182.3</t>
  </si>
  <si>
    <r>
      <t>190</t>
    </r>
    <r>
      <rPr>
        <sz val="9"/>
        <color rgb="FFFF0000"/>
        <rFont val="Arial"/>
        <family val="2"/>
      </rPr>
      <t>4</t>
    </r>
    <r>
      <rPr>
        <sz val="9"/>
        <rFont val="Arial"/>
        <family val="2"/>
      </rPr>
      <t>002</t>
    </r>
  </si>
  <si>
    <r>
      <t>283</t>
    </r>
    <r>
      <rPr>
        <sz val="9"/>
        <color rgb="FFFF0000"/>
        <rFont val="Arial"/>
        <family val="2"/>
      </rPr>
      <t>4</t>
    </r>
    <r>
      <rPr>
        <sz val="9"/>
        <rFont val="Arial"/>
        <family val="2"/>
      </rPr>
      <t>002</t>
    </r>
  </si>
  <si>
    <t>ADFIT - FBOS</t>
  </si>
  <si>
    <t>WS B - 2 Col C/D, ADIT item 2.55/2.56</t>
  </si>
  <si>
    <t>WS B - 1 Col C/D, ADIT Item 5.29</t>
  </si>
  <si>
    <t>WS B - 1 Cols M+N+O , ADIT Item 9.41</t>
  </si>
  <si>
    <t>WS B - 1 Col C/D, ADIT Item 9.46</t>
  </si>
  <si>
    <t>WS B - 1 Cols N , ADIT Item 9.41</t>
  </si>
  <si>
    <r>
      <t>283</t>
    </r>
    <r>
      <rPr>
        <sz val="9"/>
        <color rgb="FFFF0000"/>
        <rFont val="Arial"/>
        <family val="2"/>
      </rPr>
      <t>1</t>
    </r>
    <r>
      <rPr>
        <sz val="9"/>
        <rFont val="Arial"/>
        <family val="2"/>
      </rPr>
      <t>002</t>
    </r>
  </si>
  <si>
    <t xml:space="preserve">ADSIT - Other </t>
  </si>
  <si>
    <t>WVHB2026</t>
  </si>
  <si>
    <t>1k</t>
  </si>
  <si>
    <t>1l</t>
  </si>
  <si>
    <t>1m</t>
  </si>
  <si>
    <t>1n</t>
  </si>
  <si>
    <t>Regulatory Liability - State Excess ADFIT</t>
  </si>
  <si>
    <t>2d</t>
  </si>
  <si>
    <t>FBOS</t>
  </si>
  <si>
    <t>4i</t>
  </si>
  <si>
    <t>4j</t>
  </si>
  <si>
    <t>4k</t>
  </si>
  <si>
    <t>4l</t>
  </si>
  <si>
    <t>5d</t>
  </si>
  <si>
    <t>254</t>
  </si>
  <si>
    <t>WORKSHEET-B-3-B</t>
  </si>
  <si>
    <t xml:space="preserve">WV House Bill 2026 - Revision of the WV Tax Apportionment Methodolgy from three Factor to One Factor </t>
  </si>
  <si>
    <t>2021 Pre-remeasurement Balance</t>
  </si>
  <si>
    <t>2831002</t>
  </si>
  <si>
    <t>Total Fed Cumulative ADIT</t>
  </si>
  <si>
    <t>New Apportionment Factor</t>
  </si>
  <si>
    <t>WV State Tax Rate</t>
  </si>
  <si>
    <t>WV SDIT Single Factor Apportionment (NEW)</t>
  </si>
  <si>
    <t>Prior Apportionment Factor</t>
  </si>
  <si>
    <t>WV SDIT  Three Factor Apportionment Method (PRIOR)</t>
  </si>
  <si>
    <t>Change in Methods (Ln 4 -  Ln 9)</t>
  </si>
  <si>
    <t>Federal Offset</t>
  </si>
  <si>
    <t>Ln 9</t>
  </si>
  <si>
    <t>Ln 24</t>
  </si>
  <si>
    <t xml:space="preserve">Remeasurement calculation may not equal 0% of the December 31, 2021  deferral balance because of specific ADIT items that are not subject to remeasurement. </t>
  </si>
  <si>
    <t>Not Applicable</t>
  </si>
  <si>
    <t>Ties to each Operating Companies' Workpaper B-3, Column F, showing the intial remeasurement value determined as a result of the WV HB 2026</t>
  </si>
  <si>
    <t>WEST VIRGINIA POWER COMPANY</t>
  </si>
  <si>
    <t>For Year Ended December 31, 2022</t>
  </si>
  <si>
    <t>1/1/2022 Beginning  Balances</t>
  </si>
  <si>
    <t>12/31/2022 Ending Balance</t>
  </si>
  <si>
    <t>State Publ Serv CommissionFees</t>
  </si>
  <si>
    <t>General Advertising Expenses</t>
  </si>
  <si>
    <t>DEFD REV - SAN ANGELO SETTLEMENT</t>
  </si>
  <si>
    <t>PSI - STOCK BASED COMP</t>
  </si>
  <si>
    <t>REG ASSET-Beneficial Electrification Prg</t>
  </si>
  <si>
    <t>DEFD STORM DAMAGE</t>
  </si>
  <si>
    <t>REG ASSET-WV ECS Under Recovery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</si>
</sst>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2">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quot;$&quot;#,##0.000"/>
    <numFmt numFmtId="172" formatCode="&quot;$&quot;#,##0.00"/>
    <numFmt numFmtId="173" formatCode="_(* #,##0_);_(* \(#,##0\);_(* &quot;-&quot;??_);_(@_)"/>
    <numFmt numFmtId="174" formatCode="_(&quot;$&quot;* #,##0_);_(&quot;$&quot;* \(#,##0\);_(&quot;$&quot;* &quot;-&quot;??_);_(@_)"/>
    <numFmt numFmtId="175" formatCode="&quot;$&quot;#,##0.000000000000"/>
    <numFmt numFmtId="176" formatCode="0.0000%"/>
    <numFmt numFmtId="177" formatCode="_(* #,##0.0_);_(* \(#,##0.0\);_(* &quot;-&quot;??_);_(@_)"/>
    <numFmt numFmtId="178" formatCode="0.000000"/>
    <numFmt numFmtId="179" formatCode="_(* #,##0.0000_);_(* \(#,##0.0000\);_(* &quot;-&quot;_);_(@_)"/>
    <numFmt numFmtId="180" formatCode="_(* #,##0.00000_);_(* \(#,##0.00000\);_(* &quot;-&quot;_);_(@_)"/>
    <numFmt numFmtId="181" formatCode="_(* #,##0.00000_);_(* \(#,##0.00000\);_(* &quot;-&quot;??_);_(@_)"/>
    <numFmt numFmtId="182" formatCode="#,##0.0000000"/>
    <numFmt numFmtId="183" formatCode="_(* #,##0.0000000_);_(* \(#,##0.0000000\);_(* &quot;-&quot;_);_(@_)"/>
    <numFmt numFmtId="184" formatCode="#,##0\ ;\(#,##0\)"/>
    <numFmt numFmtId="185" formatCode="_(* #,##0.0000_);_(* \(#,##0.0000\);_(* &quot;-&quot;??_);_(@_)"/>
    <numFmt numFmtId="186" formatCode="_(* #,##0.000_);_(* \(#,##0.000\);_(* &quot;-&quot;_);_(@_)"/>
    <numFmt numFmtId="187" formatCode="#,##0.000000"/>
    <numFmt numFmtId="188" formatCode="mmmm\ d\,\ yyyy"/>
    <numFmt numFmtId="189" formatCode="m/d/yy;@"/>
    <numFmt numFmtId="190" formatCode="0.000"/>
    <numFmt numFmtId="191" formatCode="0.000000_)"/>
    <numFmt numFmtId="192" formatCode="#,##0.000000_);\(#,##0.000000\)"/>
    <numFmt numFmtId="193" formatCode="0_);\(0\)"/>
    <numFmt numFmtId="194" formatCode="0.0"/>
    <numFmt numFmtId="195" formatCode="&quot;$&quot;#,##0.0000"/>
    <numFmt numFmtId="196" formatCode="[$-409]mmm\-yy;@"/>
    <numFmt numFmtId="197" formatCode="#,##0_);[Red]\(#,##0\);&quot; &quot;"/>
    <numFmt numFmtId="198" formatCode="_(* #,##0.00_);_(* \(#,##0.00\);_(* &quot;-&quot;_);_(@_)"/>
    <numFmt numFmtId="199" formatCode="_(* #,##0.000_);_(* \(#,##0.000\);_(* &quot;-&quot;??_);_(@_)"/>
    <numFmt numFmtId="200" formatCode="0.000000%"/>
  </numFmts>
  <fonts count="17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MT"/>
    </font>
    <font>
      <b/>
      <sz val="14"/>
      <name val="Arial"/>
      <family val="2"/>
    </font>
    <font>
      <sz val="12"/>
      <name val="Arial"/>
      <family val="2"/>
    </font>
    <font>
      <b/>
      <sz val="12"/>
      <name val="Arial"/>
      <family val="2"/>
    </font>
    <font>
      <b/>
      <sz val="10"/>
      <color indexed="10"/>
      <name val="Arial"/>
      <family val="2"/>
    </font>
    <font>
      <sz val="10"/>
      <color indexed="12"/>
      <name val="Arial"/>
      <family val="2"/>
    </font>
    <font>
      <b/>
      <sz val="10"/>
      <name val="Arial"/>
      <family val="2"/>
    </font>
    <font>
      <b/>
      <u/>
      <sz val="12"/>
      <name val="Arial"/>
      <family val="2"/>
    </font>
    <font>
      <b/>
      <sz val="16"/>
      <name val="Arial"/>
      <family val="2"/>
    </font>
    <font>
      <sz val="10"/>
      <name val="Arial"/>
      <family val="2"/>
    </font>
    <font>
      <u/>
      <sz val="10"/>
      <name val="Arial"/>
      <family val="2"/>
    </font>
    <font>
      <u/>
      <sz val="12"/>
      <name val="Arial"/>
      <family val="2"/>
    </font>
    <font>
      <sz val="10"/>
      <name val="Times New Roman"/>
      <family val="1"/>
    </font>
    <font>
      <i/>
      <sz val="10"/>
      <name val="Arial"/>
      <family val="2"/>
    </font>
    <font>
      <b/>
      <u/>
      <sz val="10"/>
      <name val="Arial"/>
      <family val="2"/>
    </font>
    <font>
      <sz val="14"/>
      <name val="Arial"/>
      <family val="2"/>
    </font>
    <font>
      <sz val="12"/>
      <color indexed="12"/>
      <name val="Arial"/>
      <family val="2"/>
    </font>
    <font>
      <sz val="10"/>
      <color indexed="12"/>
      <name val="Arial"/>
      <family val="2"/>
    </font>
    <font>
      <b/>
      <sz val="12"/>
      <color indexed="12"/>
      <name val="Arial"/>
      <family val="2"/>
    </font>
    <font>
      <sz val="10"/>
      <color indexed="10"/>
      <name val="Arial"/>
      <family val="2"/>
    </font>
    <font>
      <sz val="12"/>
      <color indexed="10"/>
      <name val="Arial"/>
      <family val="2"/>
    </font>
    <font>
      <sz val="9"/>
      <name val="Arial"/>
      <family val="2"/>
    </font>
    <font>
      <b/>
      <sz val="9"/>
      <name val="Arial"/>
      <family val="2"/>
    </font>
    <font>
      <sz val="12"/>
      <name val="Arial"/>
      <family val="2"/>
    </font>
    <font>
      <sz val="12"/>
      <color indexed="12"/>
      <name val="Arial"/>
      <family val="2"/>
    </font>
    <font>
      <i/>
      <sz val="12"/>
      <name val="Arial"/>
      <family val="2"/>
    </font>
    <font>
      <b/>
      <sz val="12"/>
      <color indexed="10"/>
      <name val="Helv"/>
    </font>
    <font>
      <b/>
      <sz val="12"/>
      <color indexed="10"/>
      <name val="Arial Narrow"/>
      <family val="2"/>
    </font>
    <font>
      <b/>
      <sz val="18"/>
      <name val="Arial"/>
      <family val="2"/>
    </font>
    <font>
      <sz val="10"/>
      <name val="Arial"/>
      <family val="2"/>
    </font>
    <font>
      <sz val="10"/>
      <name val="MS Sans Serif"/>
      <family val="2"/>
    </font>
    <font>
      <b/>
      <sz val="10"/>
      <name val="MS Sans Serif"/>
      <family val="2"/>
    </font>
    <font>
      <sz val="11"/>
      <color indexed="8"/>
      <name val="Arial Narrow"/>
      <family val="2"/>
    </font>
    <font>
      <sz val="11"/>
      <color indexed="9"/>
      <name val="Arial Narrow"/>
      <family val="2"/>
    </font>
    <font>
      <sz val="11"/>
      <color indexed="20"/>
      <name val="Arial Narrow"/>
      <family val="2"/>
    </font>
    <font>
      <sz val="8"/>
      <name val="Arial"/>
      <family val="2"/>
    </font>
    <font>
      <b/>
      <i/>
      <sz val="14"/>
      <name val="Arial"/>
      <family val="2"/>
    </font>
    <font>
      <b/>
      <sz val="11"/>
      <name val="Arial"/>
      <family val="2"/>
    </font>
    <font>
      <b/>
      <sz val="24"/>
      <name val="Arial Narrow"/>
      <family val="2"/>
    </font>
    <font>
      <b/>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b/>
      <sz val="14"/>
      <name val="Book Antiqua"/>
      <family val="1"/>
    </font>
    <font>
      <i/>
      <sz val="10"/>
      <name val="Book Antiqua"/>
      <family val="1"/>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56"/>
      <name val="Cambria"/>
      <family val="2"/>
    </font>
    <font>
      <sz val="11"/>
      <color indexed="10"/>
      <name val="Arial Narrow"/>
      <family val="2"/>
    </font>
    <font>
      <b/>
      <sz val="14"/>
      <name val="MS Serif"/>
      <family val="1"/>
    </font>
    <font>
      <sz val="10"/>
      <name val="MS Serif"/>
      <family val="1"/>
    </font>
    <font>
      <b/>
      <sz val="10"/>
      <color indexed="8"/>
      <name val="Arial"/>
      <family val="2"/>
    </font>
    <font>
      <b/>
      <sz val="10"/>
      <color indexed="12"/>
      <name val="Arial"/>
      <family val="2"/>
    </font>
    <font>
      <sz val="10"/>
      <name val="Helv"/>
    </font>
    <font>
      <sz val="14"/>
      <name val="Helv"/>
    </font>
    <font>
      <sz val="14"/>
      <color indexed="12"/>
      <name val="Arial"/>
      <family val="2"/>
    </font>
    <font>
      <b/>
      <u/>
      <sz val="14"/>
      <name val="Helv"/>
    </font>
    <font>
      <b/>
      <sz val="14"/>
      <name val="Helv"/>
    </font>
    <font>
      <sz val="14"/>
      <name val="Arial"/>
      <family val="2"/>
    </font>
    <font>
      <b/>
      <sz val="12"/>
      <name val="Arial MT"/>
    </font>
    <font>
      <sz val="14"/>
      <color indexed="12"/>
      <name val="Helv"/>
    </font>
    <font>
      <u/>
      <sz val="14"/>
      <name val="Helv"/>
    </font>
    <font>
      <b/>
      <sz val="10"/>
      <color indexed="10"/>
      <name val="Arial Narrow"/>
      <family val="2"/>
    </font>
    <font>
      <b/>
      <u/>
      <sz val="14"/>
      <name val="Arial"/>
      <family val="2"/>
    </font>
    <font>
      <u/>
      <sz val="12"/>
      <name val="Arial MT"/>
    </font>
    <font>
      <u/>
      <sz val="12"/>
      <name val="Times New Roman"/>
      <family val="1"/>
    </font>
    <font>
      <sz val="14"/>
      <color indexed="9"/>
      <name val="Helv"/>
    </font>
    <font>
      <sz val="10"/>
      <color indexed="12"/>
      <name val="Times New Roman"/>
      <family val="1"/>
    </font>
    <font>
      <u val="singleAccounting"/>
      <sz val="10"/>
      <name val="Arial"/>
      <family val="2"/>
    </font>
    <font>
      <sz val="14"/>
      <color indexed="23"/>
      <name val="Helv"/>
    </font>
    <font>
      <strike/>
      <sz val="12"/>
      <color indexed="10"/>
      <name val="Arial"/>
      <family val="2"/>
    </font>
    <font>
      <sz val="12"/>
      <color indexed="10"/>
      <name val="Arial MT"/>
    </font>
    <font>
      <b/>
      <strike/>
      <u/>
      <sz val="10"/>
      <color indexed="10"/>
      <name val="Arial"/>
      <family val="2"/>
    </font>
    <font>
      <strike/>
      <u/>
      <sz val="10"/>
      <color indexed="10"/>
      <name val="Arial"/>
      <family val="2"/>
    </font>
    <font>
      <sz val="8"/>
      <name val="Arial"/>
      <family val="2"/>
    </font>
    <font>
      <b/>
      <i/>
      <u/>
      <sz val="10"/>
      <name val="Arial"/>
      <family val="2"/>
    </font>
    <font>
      <strike/>
      <sz val="14"/>
      <color indexed="10"/>
      <name val="Helv"/>
    </font>
    <font>
      <b/>
      <i/>
      <u/>
      <sz val="12"/>
      <name val="Arial"/>
      <family val="2"/>
    </font>
    <font>
      <b/>
      <sz val="10"/>
      <name val="Times New Roman"/>
      <family val="1"/>
    </font>
    <font>
      <b/>
      <sz val="12"/>
      <name val="Times New Roman"/>
      <family val="1"/>
    </font>
    <font>
      <strike/>
      <sz val="12"/>
      <name val="Arial"/>
      <family val="2"/>
    </font>
    <font>
      <b/>
      <sz val="10"/>
      <name val="Arial"/>
      <family val="2"/>
    </font>
    <font>
      <b/>
      <u val="singleAccounting"/>
      <sz val="10"/>
      <name val="Arial"/>
      <family val="2"/>
    </font>
    <font>
      <b/>
      <strike/>
      <sz val="10"/>
      <name val="Arial"/>
      <family val="2"/>
    </font>
    <font>
      <b/>
      <sz val="10"/>
      <name val="Arial Narrow"/>
      <family val="2"/>
    </font>
    <font>
      <b/>
      <strike/>
      <u/>
      <sz val="10"/>
      <name val="Arial"/>
      <family val="2"/>
    </font>
    <font>
      <sz val="14"/>
      <color indexed="8"/>
      <name val="Helv"/>
    </font>
    <font>
      <sz val="10"/>
      <color indexed="8"/>
      <name val="Helv"/>
    </font>
    <font>
      <sz val="13"/>
      <name val="Times New Roman"/>
      <family val="1"/>
    </font>
    <font>
      <sz val="10"/>
      <name val="Arial"/>
      <family val="2"/>
    </font>
    <font>
      <sz val="10"/>
      <name val="Arial MT"/>
    </font>
    <font>
      <u/>
      <sz val="11"/>
      <name val="Arial"/>
      <family val="2"/>
    </font>
    <font>
      <sz val="12"/>
      <name val="Arial Black"/>
      <family val="2"/>
    </font>
    <font>
      <sz val="10"/>
      <color indexed="12"/>
      <name val="Courier"/>
      <family val="3"/>
    </font>
    <font>
      <i/>
      <sz val="12"/>
      <name val="Arial Condensed Bold"/>
    </font>
    <font>
      <i/>
      <sz val="12"/>
      <color indexed="12"/>
      <name val="Arial Condensed Bold"/>
    </font>
    <font>
      <b/>
      <i/>
      <sz val="12"/>
      <color indexed="12"/>
      <name val="Arial MT"/>
    </font>
    <font>
      <b/>
      <i/>
      <sz val="12"/>
      <name val="Arial MT"/>
    </font>
    <font>
      <b/>
      <sz val="10"/>
      <color indexed="17"/>
      <name val="Courier"/>
      <family val="3"/>
    </font>
    <font>
      <b/>
      <sz val="12"/>
      <color indexed="17"/>
      <name val="Arial MT"/>
    </font>
    <font>
      <b/>
      <u/>
      <sz val="12"/>
      <name val="Arial MT"/>
    </font>
    <font>
      <sz val="12"/>
      <name val="Arial"/>
      <family val="2"/>
    </font>
    <font>
      <sz val="16"/>
      <name val="Arial"/>
      <family val="2"/>
    </font>
    <font>
      <sz val="12"/>
      <name val="Arial"/>
      <family val="2"/>
    </font>
    <font>
      <sz val="10"/>
      <name val="Arial"/>
      <family val="2"/>
    </font>
    <font>
      <sz val="12"/>
      <name val="Arial Narrow"/>
      <family val="2"/>
    </font>
    <font>
      <b/>
      <sz val="12"/>
      <name val="Arial Narrow"/>
      <family val="2"/>
    </font>
    <font>
      <b/>
      <u/>
      <sz val="12"/>
      <name val="Arial Narrow"/>
      <family val="2"/>
    </font>
    <font>
      <sz val="10"/>
      <color indexed="9"/>
      <name val="Arial"/>
      <family val="2"/>
    </font>
    <font>
      <sz val="11"/>
      <color indexed="12"/>
      <name val="Arial"/>
      <family val="2"/>
    </font>
    <font>
      <sz val="10"/>
      <name val="Arial"/>
      <family val="2"/>
    </font>
    <font>
      <sz val="10"/>
      <name val="Arial"/>
      <family val="2"/>
    </font>
    <font>
      <sz val="10"/>
      <name val="Arial"/>
      <family val="2"/>
    </font>
    <font>
      <b/>
      <i/>
      <sz val="12"/>
      <name val="Times New Roman"/>
      <family val="1"/>
    </font>
    <font>
      <sz val="10"/>
      <color indexed="40"/>
      <name val="Arial"/>
      <family val="2"/>
    </font>
    <font>
      <sz val="10"/>
      <color indexed="40"/>
      <name val="Times New Roman"/>
      <family val="1"/>
    </font>
    <font>
      <sz val="10"/>
      <name val="Arial"/>
      <family val="2"/>
    </font>
    <font>
      <strike/>
      <sz val="10"/>
      <name val="Cambria"/>
      <family val="1"/>
    </font>
    <font>
      <b/>
      <strike/>
      <sz val="12"/>
      <color indexed="10"/>
      <name val="Arial"/>
      <family val="2"/>
    </font>
    <font>
      <sz val="10"/>
      <name val="Arial"/>
      <family val="2"/>
    </font>
    <font>
      <sz val="14"/>
      <name val="Cambria"/>
      <family val="1"/>
    </font>
    <font>
      <b/>
      <u/>
      <sz val="14"/>
      <name val="Cambria"/>
      <family val="1"/>
    </font>
    <font>
      <sz val="12"/>
      <name val="Cambria"/>
      <family val="1"/>
    </font>
    <font>
      <b/>
      <sz val="12"/>
      <name val="Arial Black"/>
      <family val="2"/>
    </font>
    <font>
      <b/>
      <sz val="12"/>
      <name val="Arial Condensed Bold"/>
    </font>
    <font>
      <sz val="10"/>
      <name val="Arial"/>
      <family val="2"/>
    </font>
    <font>
      <b/>
      <i/>
      <sz val="12"/>
      <name val="Cambria"/>
      <family val="1"/>
    </font>
    <font>
      <sz val="10"/>
      <name val="Cambria"/>
      <family val="1"/>
    </font>
    <font>
      <sz val="12"/>
      <color indexed="10"/>
      <name val="Cambria"/>
      <family val="1"/>
    </font>
    <font>
      <b/>
      <sz val="10"/>
      <name val="Cambria"/>
      <family val="1"/>
    </font>
    <font>
      <sz val="10"/>
      <color indexed="10"/>
      <name val="Cambria"/>
      <family val="1"/>
    </font>
    <font>
      <u/>
      <sz val="10"/>
      <name val="Cambria"/>
      <family val="1"/>
    </font>
    <font>
      <u/>
      <sz val="10"/>
      <color indexed="10"/>
      <name val="Cambria"/>
      <family val="1"/>
    </font>
    <font>
      <u/>
      <sz val="10"/>
      <color indexed="8"/>
      <name val="Cambria"/>
      <family val="1"/>
    </font>
    <font>
      <sz val="10"/>
      <color indexed="12"/>
      <name val="Cambria"/>
      <family val="1"/>
    </font>
    <font>
      <b/>
      <u/>
      <sz val="10"/>
      <name val="Cambria"/>
      <family val="1"/>
    </font>
    <font>
      <sz val="10"/>
      <name val="Arial"/>
      <family val="2"/>
    </font>
    <font>
      <sz val="11"/>
      <color theme="1"/>
      <name val="Calibri"/>
      <family val="2"/>
      <scheme val="minor"/>
    </font>
    <font>
      <sz val="11"/>
      <color theme="1"/>
      <name val="Calibri"/>
      <family val="2"/>
    </font>
    <font>
      <sz val="10"/>
      <color rgb="FF0000FF"/>
      <name val="Arial"/>
      <family val="2"/>
    </font>
    <font>
      <sz val="8"/>
      <color theme="1"/>
      <name val="Calibri"/>
      <family val="2"/>
      <scheme val="minor"/>
    </font>
    <font>
      <sz val="10"/>
      <color rgb="FFFF0000"/>
      <name val="Arial"/>
      <family val="2"/>
    </font>
    <font>
      <strike/>
      <sz val="12"/>
      <color rgb="FFFF0000"/>
      <name val="Cambria"/>
      <family val="1"/>
    </font>
    <font>
      <sz val="12"/>
      <color rgb="FFFF0000"/>
      <name val="Arial"/>
      <family val="2"/>
    </font>
    <font>
      <b/>
      <sz val="10"/>
      <color rgb="FFFF0000"/>
      <name val="Arial"/>
      <family val="2"/>
    </font>
    <font>
      <sz val="14"/>
      <color rgb="FFFF0000"/>
      <name val="Arial"/>
      <family val="2"/>
    </font>
    <font>
      <strike/>
      <sz val="14"/>
      <color rgb="FFFF0000"/>
      <name val="Cambria"/>
      <family val="1"/>
    </font>
    <font>
      <b/>
      <sz val="14"/>
      <color rgb="FFFF0000"/>
      <name val="Arial"/>
      <family val="2"/>
    </font>
    <font>
      <b/>
      <u/>
      <sz val="11"/>
      <name val="Arial"/>
      <family val="2"/>
    </font>
    <font>
      <sz val="10"/>
      <name val="Arial"/>
      <family val="2"/>
    </font>
    <font>
      <sz val="12"/>
      <name val="Arial MT"/>
      <family val="2"/>
    </font>
    <font>
      <sz val="9"/>
      <color rgb="FFFF0000"/>
      <name val="Arial"/>
      <family val="2"/>
    </font>
    <font>
      <sz val="9"/>
      <name val="Arial MT"/>
      <family val="2"/>
    </font>
    <font>
      <i/>
      <sz val="12"/>
      <name val="Arial MT"/>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22"/>
        <bgColor indexed="64"/>
      </patternFill>
    </fill>
    <fill>
      <patternFill patternType="solid">
        <fgColor indexed="23"/>
        <bgColor indexed="64"/>
      </patternFill>
    </fill>
    <fill>
      <patternFill patternType="solid">
        <fgColor indexed="9"/>
        <bgColor indexed="64"/>
      </patternFill>
    </fill>
    <fill>
      <patternFill patternType="solid">
        <fgColor indexed="42"/>
        <bgColor indexed="64"/>
      </patternFill>
    </fill>
    <fill>
      <patternFill patternType="solid">
        <fgColor indexed="55"/>
        <bgColor indexed="64"/>
      </patternFill>
    </fill>
    <fill>
      <patternFill patternType="solid">
        <fgColor indexed="27"/>
        <bgColor indexed="64"/>
      </patternFill>
    </fill>
    <fill>
      <patternFill patternType="solid">
        <fgColor theme="0"/>
        <bgColor indexed="64"/>
      </patternFill>
    </fill>
    <fill>
      <patternFill patternType="solid">
        <fgColor rgb="FFCCFFFF"/>
        <bgColor indexed="64"/>
      </patternFill>
    </fill>
    <fill>
      <patternFill patternType="solid">
        <fgColor rgb="FFFFFF00"/>
        <bgColor indexed="64"/>
      </patternFill>
    </fill>
    <fill>
      <patternFill patternType="solid">
        <fgColor theme="0" tint="-0.24991607409894101"/>
        <bgColor indexed="64"/>
      </patternFill>
    </fill>
    <fill>
      <patternFill patternType="darkUp">
        <bgColor theme="0" tint="-0.14990691854609822"/>
      </patternFill>
    </fill>
    <fill>
      <patternFill patternType="solid">
        <fgColor rgb="FFFFC000"/>
        <bgColor indexed="64"/>
      </patternFill>
    </fill>
  </fills>
  <borders count="58">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64"/>
      </top>
      <bottom/>
      <diagonal/>
    </border>
    <border>
      <left/>
      <right/>
      <top style="medium">
        <color indexed="8"/>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top/>
      <bottom style="medium">
        <color indexed="8"/>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8"/>
      </top>
      <bottom/>
      <diagonal/>
    </border>
    <border>
      <left/>
      <right/>
      <top style="double">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double">
        <color auto="1"/>
      </bottom>
      <diagonal/>
    </border>
    <border>
      <left/>
      <right/>
      <top style="double">
        <color auto="1"/>
      </top>
      <bottom/>
      <diagonal/>
    </border>
    <border>
      <left/>
      <right style="thin">
        <color indexed="64"/>
      </right>
      <top style="thin">
        <color indexed="64"/>
      </top>
      <bottom/>
      <diagonal/>
    </border>
  </borders>
  <cellStyleXfs count="537">
    <xf numFmtId="0" fontId="0" fillId="0" borderId="0"/>
    <xf numFmtId="0" fontId="39" fillId="2" borderId="0" applyNumberFormat="0" applyBorder="0" applyAlignment="0" applyProtection="0"/>
    <xf numFmtId="0" fontId="39" fillId="2"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40" fillId="12" borderId="0" applyNumberFormat="0" applyBorder="0" applyAlignment="0" applyProtection="0"/>
    <xf numFmtId="0" fontId="40" fillId="12"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1" fillId="3" borderId="0" applyNumberFormat="0" applyBorder="0" applyAlignment="0" applyProtection="0"/>
    <xf numFmtId="0" fontId="41" fillId="3" borderId="0" applyNumberFormat="0" applyBorder="0" applyAlignment="0" applyProtection="0"/>
    <xf numFmtId="172" fontId="42" fillId="0" borderId="0" applyFill="0"/>
    <xf numFmtId="172" fontId="42" fillId="0" borderId="0">
      <alignment horizontal="center"/>
    </xf>
    <xf numFmtId="0" fontId="42" fillId="0" borderId="0" applyFill="0">
      <alignment horizontal="center"/>
    </xf>
    <xf numFmtId="172" fontId="8" fillId="0" borderId="1" applyFill="0"/>
    <xf numFmtId="0" fontId="16" fillId="0" borderId="0" applyFont="0" applyAlignment="0"/>
    <xf numFmtId="0" fontId="43" fillId="0" borderId="0" applyFill="0">
      <alignment vertical="top"/>
    </xf>
    <xf numFmtId="0" fontId="8" fillId="0" borderId="0" applyFill="0">
      <alignment horizontal="left" vertical="top"/>
    </xf>
    <xf numFmtId="172" fontId="10" fillId="0" borderId="2" applyFill="0"/>
    <xf numFmtId="0" fontId="16" fillId="0" borderId="0" applyNumberFormat="0" applyFont="0" applyAlignment="0"/>
    <xf numFmtId="0" fontId="43" fillId="0" borderId="0" applyFill="0">
      <alignment wrapText="1"/>
    </xf>
    <xf numFmtId="0" fontId="8" fillId="0" borderId="0" applyFill="0">
      <alignment horizontal="left" vertical="top" wrapText="1"/>
    </xf>
    <xf numFmtId="172" fontId="44" fillId="0" borderId="0" applyFill="0"/>
    <xf numFmtId="0" fontId="45" fillId="0" borderId="0" applyNumberFormat="0" applyFont="0" applyAlignment="0">
      <alignment horizontal="center"/>
    </xf>
    <xf numFmtId="0" fontId="46" fillId="0" borderId="0" applyFill="0">
      <alignment vertical="top" wrapText="1"/>
    </xf>
    <xf numFmtId="0" fontId="10" fillId="0" borderId="0" applyFill="0">
      <alignment horizontal="left" vertical="top" wrapText="1"/>
    </xf>
    <xf numFmtId="172" fontId="16" fillId="0" borderId="0" applyFill="0"/>
    <xf numFmtId="0" fontId="45" fillId="0" borderId="0" applyNumberFormat="0" applyFont="0" applyAlignment="0">
      <alignment horizontal="center"/>
    </xf>
    <xf numFmtId="0" fontId="32" fillId="0" borderId="0" applyFill="0">
      <alignment vertical="center" wrapText="1"/>
    </xf>
    <xf numFmtId="0" fontId="9" fillId="0" borderId="0">
      <alignment horizontal="left" vertical="center" wrapText="1"/>
    </xf>
    <xf numFmtId="172" fontId="28" fillId="0" borderId="0" applyFill="0"/>
    <xf numFmtId="0" fontId="45" fillId="0" borderId="0" applyNumberFormat="0" applyFont="0" applyAlignment="0">
      <alignment horizontal="center"/>
    </xf>
    <xf numFmtId="0" fontId="20" fillId="0" borderId="0" applyFill="0">
      <alignment horizontal="center" vertical="center" wrapText="1"/>
    </xf>
    <xf numFmtId="0" fontId="16" fillId="0" borderId="0" applyFill="0">
      <alignment horizontal="center" vertical="center" wrapText="1"/>
    </xf>
    <xf numFmtId="172" fontId="47" fillId="0" borderId="0" applyFill="0"/>
    <xf numFmtId="0" fontId="45" fillId="0" borderId="0" applyNumberFormat="0" applyFont="0" applyAlignment="0">
      <alignment horizontal="center"/>
    </xf>
    <xf numFmtId="0" fontId="48" fillId="0" borderId="0" applyFill="0">
      <alignment horizontal="center" vertical="center" wrapText="1"/>
    </xf>
    <xf numFmtId="0" fontId="49" fillId="0" borderId="0" applyFill="0">
      <alignment horizontal="center" vertical="center" wrapText="1"/>
    </xf>
    <xf numFmtId="172" fontId="50" fillId="0" borderId="0" applyFill="0"/>
    <xf numFmtId="0" fontId="45" fillId="0" borderId="0" applyNumberFormat="0" applyFont="0" applyAlignment="0">
      <alignment horizontal="center"/>
    </xf>
    <xf numFmtId="0" fontId="51" fillId="0" borderId="0">
      <alignment horizontal="center" wrapText="1"/>
    </xf>
    <xf numFmtId="0" fontId="47" fillId="0" borderId="0" applyFill="0">
      <alignment horizontal="center" wrapText="1"/>
    </xf>
    <xf numFmtId="0" fontId="52" fillId="20" borderId="3" applyNumberFormat="0" applyAlignment="0" applyProtection="0"/>
    <xf numFmtId="0" fontId="52" fillId="20" borderId="3" applyNumberFormat="0" applyAlignment="0" applyProtection="0"/>
    <xf numFmtId="0" fontId="53" fillId="21" borderId="4" applyNumberFormat="0" applyAlignment="0" applyProtection="0"/>
    <xf numFmtId="0" fontId="53" fillId="21" borderId="4" applyNumberFormat="0" applyAlignment="0" applyProtection="0"/>
    <xf numFmtId="43" fontId="6" fillId="0" borderId="0" applyFont="0" applyFill="0" applyBorder="0" applyAlignment="0" applyProtection="0"/>
    <xf numFmtId="43" fontId="1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6" fillId="0" borderId="0" applyFont="0" applyFill="0" applyBorder="0" applyAlignment="0" applyProtection="0"/>
    <xf numFmtId="43" fontId="16" fillId="0" borderId="0" applyFont="0" applyFill="0" applyBorder="0" applyAlignment="0" applyProtection="0"/>
    <xf numFmtId="43" fontId="132"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37" fillId="0" borderId="0" applyFont="0" applyFill="0" applyBorder="0" applyAlignment="0" applyProtection="0"/>
    <xf numFmtId="43" fontId="16" fillId="0" borderId="0" applyFont="0" applyFill="0" applyBorder="0" applyAlignment="0" applyProtection="0"/>
    <xf numFmtId="43" fontId="140" fillId="0" borderId="0" applyFont="0" applyFill="0" applyBorder="0" applyAlignment="0" applyProtection="0"/>
    <xf numFmtId="43" fontId="16" fillId="0" borderId="0" applyFont="0" applyFill="0" applyBorder="0" applyAlignment="0" applyProtection="0"/>
    <xf numFmtId="43" fontId="157" fillId="0" borderId="0" applyFont="0" applyFill="0" applyBorder="0" applyAlignment="0" applyProtection="0"/>
    <xf numFmtId="43" fontId="158" fillId="0" borderId="0" applyFont="0" applyFill="0" applyBorder="0" applyAlignment="0" applyProtection="0"/>
    <xf numFmtId="43" fontId="16" fillId="0" borderId="0" applyFont="0" applyFill="0" applyBorder="0" applyAlignment="0" applyProtection="0"/>
    <xf numFmtId="43" fontId="137" fillId="0" borderId="0" applyFont="0" applyFill="0" applyBorder="0" applyAlignment="0" applyProtection="0"/>
    <xf numFmtId="43" fontId="16" fillId="0" borderId="0" applyFont="0" applyFill="0" applyBorder="0" applyAlignment="0" applyProtection="0"/>
    <xf numFmtId="43" fontId="158" fillId="0" borderId="0" applyFont="0" applyFill="0" applyBorder="0" applyAlignment="0" applyProtection="0"/>
    <xf numFmtId="43" fontId="16" fillId="0" borderId="0" applyFont="0" applyFill="0" applyBorder="0" applyAlignment="0" applyProtection="0"/>
    <xf numFmtId="43" fontId="158" fillId="0" borderId="0" applyFont="0" applyFill="0" applyBorder="0" applyAlignment="0" applyProtection="0"/>
    <xf numFmtId="43" fontId="14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57" fillId="0" borderId="0" applyFont="0" applyFill="0" applyBorder="0" applyAlignment="0" applyProtection="0"/>
    <xf numFmtId="43" fontId="6" fillId="0" borderId="0" applyFont="0" applyFill="0" applyBorder="0" applyAlignment="0" applyProtection="0"/>
    <xf numFmtId="3" fontId="16" fillId="0" borderId="0" applyFont="0" applyFill="0" applyBorder="0" applyAlignment="0" applyProtection="0"/>
    <xf numFmtId="44" fontId="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6" fillId="0" borderId="0" applyFont="0" applyFill="0" applyBorder="0" applyAlignment="0" applyProtection="0"/>
    <xf numFmtId="44" fontId="16" fillId="0" borderId="0" applyFont="0" applyFill="0" applyBorder="0" applyAlignment="0" applyProtection="0"/>
    <xf numFmtId="44" fontId="132"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33"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37" fillId="0" borderId="0" applyFont="0" applyFill="0" applyBorder="0" applyAlignment="0" applyProtection="0"/>
    <xf numFmtId="44" fontId="16" fillId="0" borderId="0" applyFont="0" applyFill="0" applyBorder="0" applyAlignment="0" applyProtection="0"/>
    <xf numFmtId="44" fontId="157" fillId="0" borderId="0" applyFont="0" applyFill="0" applyBorder="0" applyAlignment="0" applyProtection="0"/>
    <xf numFmtId="44" fontId="158" fillId="0" borderId="0" applyFont="0" applyFill="0" applyBorder="0" applyAlignment="0" applyProtection="0"/>
    <xf numFmtId="44" fontId="16" fillId="0" borderId="0" applyFont="0" applyFill="0" applyBorder="0" applyAlignment="0" applyProtection="0"/>
    <xf numFmtId="44" fontId="137" fillId="0" borderId="0" applyFont="0" applyFill="0" applyBorder="0" applyAlignment="0" applyProtection="0"/>
    <xf numFmtId="44" fontId="16" fillId="0" borderId="0" applyFont="0" applyFill="0" applyBorder="0" applyAlignment="0" applyProtection="0"/>
    <xf numFmtId="44" fontId="158" fillId="0" borderId="0" applyFont="0" applyFill="0" applyBorder="0" applyAlignment="0" applyProtection="0"/>
    <xf numFmtId="44" fontId="157" fillId="0" borderId="0" applyFont="0" applyFill="0" applyBorder="0" applyAlignment="0" applyProtection="0"/>
    <xf numFmtId="5" fontId="16" fillId="0" borderId="0" applyFont="0" applyFill="0" applyBorder="0" applyAlignment="0" applyProtection="0"/>
    <xf numFmtId="14" fontId="16" fillId="0" borderId="0" applyFon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2" fontId="16" fillId="0" borderId="0" applyFont="0" applyFill="0" applyBorder="0" applyAlignment="0" applyProtection="0"/>
    <xf numFmtId="0" fontId="55" fillId="4" borderId="0" applyNumberFormat="0" applyBorder="0" applyAlignment="0" applyProtection="0"/>
    <xf numFmtId="0" fontId="55" fillId="4" borderId="0" applyNumberFormat="0" applyBorder="0" applyAlignment="0" applyProtection="0"/>
    <xf numFmtId="0" fontId="35" fillId="0" borderId="0" applyFont="0" applyFill="0" applyBorder="0" applyAlignment="0" applyProtection="0"/>
    <xf numFmtId="0" fontId="35"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56" fillId="0" borderId="5" applyNumberFormat="0" applyFill="0" applyAlignment="0" applyProtection="0"/>
    <xf numFmtId="0" fontId="56" fillId="0" borderId="5" applyNumberFormat="0" applyFill="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7" fillId="0" borderId="6"/>
    <xf numFmtId="0" fontId="58" fillId="0" borderId="0"/>
    <xf numFmtId="0" fontId="59" fillId="7" borderId="3" applyNumberFormat="0" applyAlignment="0" applyProtection="0"/>
    <xf numFmtId="0" fontId="59" fillId="7" borderId="3" applyNumberFormat="0" applyAlignment="0" applyProtection="0"/>
    <xf numFmtId="0" fontId="60" fillId="0" borderId="7" applyNumberFormat="0" applyFill="0" applyAlignment="0" applyProtection="0"/>
    <xf numFmtId="0" fontId="60" fillId="0" borderId="7" applyNumberFormat="0" applyFill="0" applyAlignment="0" applyProtection="0"/>
    <xf numFmtId="0" fontId="61" fillId="22" borderId="0" applyNumberFormat="0" applyBorder="0" applyAlignment="0" applyProtection="0"/>
    <xf numFmtId="0" fontId="61" fillId="22" borderId="0" applyNumberFormat="0" applyBorder="0" applyAlignment="0" applyProtection="0"/>
    <xf numFmtId="3" fontId="132" fillId="0" borderId="0"/>
    <xf numFmtId="3" fontId="16" fillId="0" borderId="0"/>
    <xf numFmtId="3" fontId="16" fillId="0" borderId="0"/>
    <xf numFmtId="3" fontId="132" fillId="0" borderId="0"/>
    <xf numFmtId="0" fontId="16" fillId="0" borderId="0"/>
    <xf numFmtId="3" fontId="16" fillId="0" borderId="0"/>
    <xf numFmtId="3" fontId="132" fillId="0" borderId="0"/>
    <xf numFmtId="3" fontId="16" fillId="0" borderId="0"/>
    <xf numFmtId="0" fontId="158" fillId="0" borderId="0"/>
    <xf numFmtId="3" fontId="132" fillId="0" borderId="0"/>
    <xf numFmtId="3" fontId="16" fillId="0" borderId="0"/>
    <xf numFmtId="3" fontId="132" fillId="0" borderId="0"/>
    <xf numFmtId="3" fontId="16" fillId="0" borderId="0"/>
    <xf numFmtId="0" fontId="16" fillId="0" borderId="0"/>
    <xf numFmtId="3" fontId="132" fillId="0" borderId="0"/>
    <xf numFmtId="3" fontId="16" fillId="0" borderId="0"/>
    <xf numFmtId="3" fontId="132" fillId="0" borderId="0"/>
    <xf numFmtId="3" fontId="16" fillId="0" borderId="0"/>
    <xf numFmtId="3" fontId="132" fillId="0" borderId="0"/>
    <xf numFmtId="3" fontId="16" fillId="0" borderId="0"/>
    <xf numFmtId="3" fontId="133" fillId="0" borderId="0"/>
    <xf numFmtId="3" fontId="16" fillId="0" borderId="0"/>
    <xf numFmtId="0" fontId="16" fillId="0" borderId="0"/>
    <xf numFmtId="0" fontId="131" fillId="0" borderId="0"/>
    <xf numFmtId="0" fontId="159" fillId="0" borderId="0"/>
    <xf numFmtId="0" fontId="16" fillId="0" borderId="0"/>
    <xf numFmtId="0" fontId="16" fillId="0" borderId="0"/>
    <xf numFmtId="0" fontId="159" fillId="0" borderId="0"/>
    <xf numFmtId="0" fontId="16" fillId="0" borderId="0"/>
    <xf numFmtId="0" fontId="16" fillId="0" borderId="0"/>
    <xf numFmtId="3" fontId="133" fillId="0" borderId="0"/>
    <xf numFmtId="3" fontId="16" fillId="0" borderId="0"/>
    <xf numFmtId="3" fontId="133" fillId="0" borderId="0"/>
    <xf numFmtId="3" fontId="16" fillId="0" borderId="0"/>
    <xf numFmtId="3" fontId="133" fillId="0" borderId="0"/>
    <xf numFmtId="3" fontId="16" fillId="0" borderId="0"/>
    <xf numFmtId="3" fontId="133" fillId="0" borderId="0"/>
    <xf numFmtId="3" fontId="16" fillId="0" borderId="0"/>
    <xf numFmtId="3" fontId="133" fillId="0" borderId="0"/>
    <xf numFmtId="3" fontId="16" fillId="0" borderId="0"/>
    <xf numFmtId="3" fontId="133" fillId="0" borderId="0"/>
    <xf numFmtId="3" fontId="16" fillId="0" borderId="0"/>
    <xf numFmtId="3" fontId="133" fillId="0" borderId="0"/>
    <xf numFmtId="3" fontId="16" fillId="0" borderId="0"/>
    <xf numFmtId="3" fontId="16" fillId="0" borderId="0"/>
    <xf numFmtId="3" fontId="140" fillId="0" borderId="0"/>
    <xf numFmtId="3" fontId="16" fillId="0" borderId="0"/>
    <xf numFmtId="3" fontId="140" fillId="0" borderId="0"/>
    <xf numFmtId="3" fontId="16" fillId="0" borderId="0"/>
    <xf numFmtId="0" fontId="16" fillId="0" borderId="0"/>
    <xf numFmtId="0" fontId="16" fillId="0" borderId="0"/>
    <xf numFmtId="3" fontId="16" fillId="0" borderId="0"/>
    <xf numFmtId="0" fontId="16" fillId="0" borderId="0"/>
    <xf numFmtId="0" fontId="6" fillId="0" borderId="0"/>
    <xf numFmtId="0" fontId="16" fillId="0" borderId="0"/>
    <xf numFmtId="0" fontId="132" fillId="0" borderId="0"/>
    <xf numFmtId="0" fontId="16" fillId="0" borderId="0"/>
    <xf numFmtId="0" fontId="16" fillId="0" borderId="0"/>
    <xf numFmtId="0" fontId="133" fillId="0" borderId="0"/>
    <xf numFmtId="0" fontId="16" fillId="0" borderId="0"/>
    <xf numFmtId="0" fontId="16" fillId="0" borderId="0"/>
    <xf numFmtId="0" fontId="16" fillId="0" borderId="0"/>
    <xf numFmtId="0" fontId="137" fillId="0" borderId="0"/>
    <xf numFmtId="0" fontId="16" fillId="0" borderId="0"/>
    <xf numFmtId="0" fontId="140" fillId="0" borderId="0"/>
    <xf numFmtId="0" fontId="16" fillId="0" borderId="0"/>
    <xf numFmtId="0" fontId="157" fillId="0" borderId="0"/>
    <xf numFmtId="0" fontId="16" fillId="0" borderId="0"/>
    <xf numFmtId="3" fontId="125" fillId="0" borderId="0"/>
    <xf numFmtId="3" fontId="16" fillId="0" borderId="0"/>
    <xf numFmtId="0" fontId="16" fillId="0" borderId="0"/>
    <xf numFmtId="3" fontId="16" fillId="0" borderId="0"/>
    <xf numFmtId="0" fontId="16" fillId="0" borderId="0"/>
    <xf numFmtId="0" fontId="158" fillId="0" borderId="0"/>
    <xf numFmtId="0" fontId="132" fillId="0" borderId="0"/>
    <xf numFmtId="0" fontId="16" fillId="0" borderId="0"/>
    <xf numFmtId="0" fontId="16" fillId="0" borderId="0"/>
    <xf numFmtId="0" fontId="133" fillId="0" borderId="0"/>
    <xf numFmtId="0" fontId="16" fillId="0" borderId="0"/>
    <xf numFmtId="0" fontId="140" fillId="0" borderId="0"/>
    <xf numFmtId="0" fontId="16" fillId="0" borderId="0"/>
    <xf numFmtId="0" fontId="158" fillId="0" borderId="0"/>
    <xf numFmtId="0" fontId="16" fillId="0" borderId="0"/>
    <xf numFmtId="0" fontId="158" fillId="0" borderId="0"/>
    <xf numFmtId="0" fontId="16" fillId="0" borderId="0"/>
    <xf numFmtId="0" fontId="158" fillId="0" borderId="0"/>
    <xf numFmtId="0" fontId="16" fillId="0" borderId="0"/>
    <xf numFmtId="0" fontId="7" fillId="0" borderId="0" applyProtection="0"/>
    <xf numFmtId="0" fontId="6" fillId="0" borderId="0"/>
    <xf numFmtId="0" fontId="133" fillId="0" borderId="0"/>
    <xf numFmtId="0" fontId="16" fillId="0" borderId="0"/>
    <xf numFmtId="0" fontId="16" fillId="0" borderId="0"/>
    <xf numFmtId="0" fontId="137" fillId="0" borderId="0"/>
    <xf numFmtId="0" fontId="16" fillId="0" borderId="0"/>
    <xf numFmtId="172" fontId="7" fillId="0" borderId="0" applyProtection="0"/>
    <xf numFmtId="0" fontId="6" fillId="0" borderId="0"/>
    <xf numFmtId="0" fontId="157" fillId="0" borderId="0"/>
    <xf numFmtId="0" fontId="6" fillId="0" borderId="0"/>
    <xf numFmtId="172" fontId="7" fillId="0" borderId="0" applyProtection="0"/>
    <xf numFmtId="0" fontId="74" fillId="0" borderId="0"/>
    <xf numFmtId="0" fontId="7" fillId="0" borderId="0"/>
    <xf numFmtId="0" fontId="16" fillId="0" borderId="0"/>
    <xf numFmtId="0" fontId="6" fillId="0" borderId="0"/>
    <xf numFmtId="0" fontId="7" fillId="23" borderId="8" applyNumberFormat="0" applyFont="0" applyAlignment="0" applyProtection="0"/>
    <xf numFmtId="0" fontId="7" fillId="23" borderId="8" applyNumberFormat="0" applyFont="0" applyAlignment="0" applyProtection="0"/>
    <xf numFmtId="0" fontId="62" fillId="20" borderId="9" applyNumberFormat="0" applyAlignment="0" applyProtection="0"/>
    <xf numFmtId="0" fontId="62" fillId="20" borderId="9" applyNumberFormat="0" applyAlignment="0" applyProtection="0"/>
    <xf numFmtId="9" fontId="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6" fillId="0" borderId="0" applyFont="0" applyFill="0" applyBorder="0" applyAlignment="0" applyProtection="0"/>
    <xf numFmtId="9" fontId="16" fillId="0" borderId="0" applyFont="0" applyFill="0" applyBorder="0" applyAlignment="0" applyProtection="0"/>
    <xf numFmtId="9" fontId="132"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33"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37" fillId="0" borderId="0" applyFont="0" applyFill="0" applyBorder="0" applyAlignment="0" applyProtection="0"/>
    <xf numFmtId="9" fontId="16" fillId="0" borderId="0" applyFont="0" applyFill="0" applyBorder="0" applyAlignment="0" applyProtection="0"/>
    <xf numFmtId="9" fontId="157" fillId="0" borderId="0" applyFont="0" applyFill="0" applyBorder="0" applyAlignment="0" applyProtection="0"/>
    <xf numFmtId="9" fontId="158"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37" fillId="0" borderId="0" applyFont="0" applyFill="0" applyBorder="0" applyAlignment="0" applyProtection="0"/>
    <xf numFmtId="9" fontId="16" fillId="0" borderId="0" applyFont="0" applyFill="0" applyBorder="0" applyAlignment="0" applyProtection="0"/>
    <xf numFmtId="9" fontId="158" fillId="0" borderId="0" applyFont="0" applyFill="0" applyBorder="0" applyAlignment="0" applyProtection="0"/>
    <xf numFmtId="9" fontId="14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57" fillId="0" borderId="0" applyFont="0" applyFill="0" applyBorder="0" applyAlignment="0" applyProtection="0"/>
    <xf numFmtId="0" fontId="37" fillId="0" borderId="0" applyNumberFormat="0" applyFont="0" applyFill="0" applyBorder="0" applyAlignment="0" applyProtection="0">
      <alignment horizontal="left"/>
    </xf>
    <xf numFmtId="15" fontId="37" fillId="0" borderId="0" applyFont="0" applyFill="0" applyBorder="0" applyAlignment="0" applyProtection="0"/>
    <xf numFmtId="4" fontId="37" fillId="0" borderId="0" applyFont="0" applyFill="0" applyBorder="0" applyAlignment="0" applyProtection="0"/>
    <xf numFmtId="3" fontId="16" fillId="0" borderId="0">
      <alignment horizontal="left" vertical="top"/>
    </xf>
    <xf numFmtId="0" fontId="38" fillId="0" borderId="6">
      <alignment horizontal="center"/>
    </xf>
    <xf numFmtId="3" fontId="37" fillId="0" borderId="0" applyFont="0" applyFill="0" applyBorder="0" applyAlignment="0" applyProtection="0"/>
    <xf numFmtId="0" fontId="37" fillId="24" borderId="0" applyNumberFormat="0" applyFont="0" applyBorder="0" applyAlignment="0" applyProtection="0"/>
    <xf numFmtId="3" fontId="16" fillId="0" borderId="0">
      <alignment horizontal="right" vertical="top"/>
    </xf>
    <xf numFmtId="41" fontId="9" fillId="25" borderId="10" applyFill="0"/>
    <xf numFmtId="0" fontId="63" fillId="0" borderId="0">
      <alignment horizontal="left" indent="7"/>
    </xf>
    <xf numFmtId="41" fontId="9" fillId="0" borderId="10" applyFill="0">
      <alignment horizontal="left" indent="2"/>
    </xf>
    <xf numFmtId="172" fontId="29" fillId="0" borderId="11" applyFill="0">
      <alignment horizontal="right"/>
    </xf>
    <xf numFmtId="0" fontId="13" fillId="0" borderId="12" applyNumberFormat="0" applyFont="0" applyBorder="0">
      <alignment horizontal="right"/>
    </xf>
    <xf numFmtId="0" fontId="64" fillId="0" borderId="0" applyFill="0"/>
    <xf numFmtId="0" fontId="10" fillId="0" borderId="0" applyFill="0"/>
    <xf numFmtId="4" fontId="29" fillId="0" borderId="11" applyFill="0"/>
    <xf numFmtId="0" fontId="16" fillId="0" borderId="0" applyNumberFormat="0" applyFont="0" applyBorder="0" applyAlignment="0"/>
    <xf numFmtId="0" fontId="46" fillId="0" borderId="0" applyFill="0">
      <alignment horizontal="left" indent="1"/>
    </xf>
    <xf numFmtId="0" fontId="65" fillId="0" borderId="0" applyFill="0">
      <alignment horizontal="left" indent="1"/>
    </xf>
    <xf numFmtId="4" fontId="28" fillId="0" borderId="0" applyFill="0"/>
    <xf numFmtId="0" fontId="16" fillId="0" borderId="0" applyNumberFormat="0" applyFont="0" applyFill="0" applyBorder="0" applyAlignment="0"/>
    <xf numFmtId="0" fontId="46" fillId="0" borderId="0" applyFill="0">
      <alignment horizontal="left" indent="2"/>
    </xf>
    <xf numFmtId="0" fontId="10" fillId="0" borderId="0" applyFill="0">
      <alignment horizontal="left" indent="2"/>
    </xf>
    <xf numFmtId="4" fontId="28" fillId="0" borderId="0" applyFill="0"/>
    <xf numFmtId="0" fontId="16" fillId="0" borderId="0" applyNumberFormat="0" applyFont="0" applyBorder="0" applyAlignment="0"/>
    <xf numFmtId="0" fontId="66" fillId="0" borderId="0">
      <alignment horizontal="left" indent="3"/>
    </xf>
    <xf numFmtId="0" fontId="67" fillId="0" borderId="0" applyFill="0">
      <alignment horizontal="left" indent="3"/>
    </xf>
    <xf numFmtId="4" fontId="28" fillId="0" borderId="0" applyFill="0"/>
    <xf numFmtId="0" fontId="16" fillId="0" borderId="0" applyNumberFormat="0" applyFont="0" applyBorder="0" applyAlignment="0"/>
    <xf numFmtId="0" fontId="20" fillId="0" borderId="0">
      <alignment horizontal="left" indent="4"/>
    </xf>
    <xf numFmtId="0" fontId="16" fillId="0" borderId="0" applyFill="0">
      <alignment horizontal="left" indent="4"/>
    </xf>
    <xf numFmtId="4" fontId="47" fillId="0" borderId="0" applyFill="0"/>
    <xf numFmtId="0" fontId="16" fillId="0" borderId="0" applyNumberFormat="0" applyFont="0" applyBorder="0" applyAlignment="0"/>
    <xf numFmtId="0" fontId="48" fillId="0" borderId="0">
      <alignment horizontal="left" indent="5"/>
    </xf>
    <xf numFmtId="0" fontId="49" fillId="0" borderId="0" applyFill="0">
      <alignment horizontal="left" indent="5"/>
    </xf>
    <xf numFmtId="4" fontId="50" fillId="0" borderId="0" applyFill="0"/>
    <xf numFmtId="0" fontId="16" fillId="0" borderId="0" applyNumberFormat="0" applyFont="0" applyFill="0" applyBorder="0" applyAlignment="0"/>
    <xf numFmtId="0" fontId="51" fillId="0" borderId="0" applyFill="0">
      <alignment horizontal="left" indent="6"/>
    </xf>
    <xf numFmtId="0" fontId="47" fillId="0" borderId="0" applyFill="0">
      <alignment horizontal="left" indent="6"/>
    </xf>
    <xf numFmtId="0" fontId="68" fillId="0" borderId="0" applyNumberFormat="0" applyFill="0" applyBorder="0" applyAlignment="0" applyProtection="0"/>
    <xf numFmtId="0" fontId="68" fillId="0" borderId="0" applyNumberForma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43" fontId="6" fillId="0" borderId="0" applyFont="0" applyFill="0" applyBorder="0" applyAlignment="0" applyProtection="0"/>
    <xf numFmtId="0" fontId="6" fillId="0" borderId="0" applyFont="0" applyAlignment="0"/>
    <xf numFmtId="0" fontId="6" fillId="0" borderId="0" applyNumberFormat="0" applyFont="0" applyAlignment="0"/>
    <xf numFmtId="172" fontId="6" fillId="0" borderId="0" applyFill="0"/>
    <xf numFmtId="0" fontId="6" fillId="0" borderId="0" applyFill="0">
      <alignment horizontal="center" vertical="center" wrapText="1"/>
    </xf>
    <xf numFmtId="43" fontId="170"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3" fontId="6" fillId="0" borderId="0" applyFont="0" applyFill="0" applyBorder="0" applyAlignment="0" applyProtection="0"/>
    <xf numFmtId="44" fontId="170"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70"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5"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5"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5" fontId="6" fillId="0" borderId="0" applyFont="0" applyFill="0" applyBorder="0" applyAlignment="0" applyProtection="0"/>
    <xf numFmtId="14" fontId="6" fillId="0" borderId="0" applyFont="0" applyFill="0" applyBorder="0" applyAlignment="0" applyProtection="0"/>
    <xf numFmtId="2" fontId="6" fillId="0" borderId="0" applyFont="0" applyFill="0" applyBorder="0" applyAlignment="0" applyProtection="0"/>
    <xf numFmtId="3" fontId="6" fillId="0" borderId="0"/>
    <xf numFmtId="3" fontId="6" fillId="0" borderId="0"/>
    <xf numFmtId="3" fontId="6" fillId="0" borderId="0"/>
    <xf numFmtId="3" fontId="6" fillId="0" borderId="0"/>
    <xf numFmtId="0" fontId="6" fillId="0" borderId="0"/>
    <xf numFmtId="3" fontId="6" fillId="0" borderId="0"/>
    <xf numFmtId="3" fontId="6" fillId="0" borderId="0"/>
    <xf numFmtId="3" fontId="6" fillId="0" borderId="0"/>
    <xf numFmtId="0" fontId="5" fillId="0" borderId="0"/>
    <xf numFmtId="3" fontId="6" fillId="0" borderId="0"/>
    <xf numFmtId="3" fontId="6" fillId="0" borderId="0"/>
    <xf numFmtId="3" fontId="6" fillId="0" borderId="0"/>
    <xf numFmtId="3" fontId="6" fillId="0" borderId="0"/>
    <xf numFmtId="0"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0" fontId="6" fillId="0" borderId="0"/>
    <xf numFmtId="0" fontId="6" fillId="0" borderId="0"/>
    <xf numFmtId="0" fontId="6" fillId="0" borderId="0"/>
    <xf numFmtId="0" fontId="6" fillId="0" borderId="0"/>
    <xf numFmtId="0" fontId="6" fillId="0" borderId="0"/>
    <xf numFmtId="0"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0" fontId="6" fillId="0" borderId="0"/>
    <xf numFmtId="0" fontId="6" fillId="0" borderId="0"/>
    <xf numFmtId="3" fontId="6" fillId="0" borderId="0"/>
    <xf numFmtId="0" fontId="1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3" fontId="6" fillId="0" borderId="0"/>
    <xf numFmtId="3" fontId="6" fillId="0" borderId="0"/>
    <xf numFmtId="0" fontId="6" fillId="0" borderId="0"/>
    <xf numFmtId="3" fontId="6" fillId="0" borderId="0"/>
    <xf numFmtId="0" fontId="6"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6" fillId="0" borderId="0"/>
    <xf numFmtId="0" fontId="5" fillId="0" borderId="0"/>
    <xf numFmtId="0" fontId="6" fillId="0" borderId="0"/>
    <xf numFmtId="0" fontId="5" fillId="0" borderId="0"/>
    <xf numFmtId="0" fontId="6" fillId="0" borderId="0"/>
    <xf numFmtId="9" fontId="17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7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3" fontId="6" fillId="0" borderId="0">
      <alignment horizontal="left" vertical="top"/>
    </xf>
    <xf numFmtId="3" fontId="6" fillId="0" borderId="0">
      <alignment horizontal="right" vertical="top"/>
    </xf>
    <xf numFmtId="0" fontId="6" fillId="0" borderId="0" applyNumberFormat="0" applyFont="0" applyBorder="0" applyAlignment="0"/>
    <xf numFmtId="0" fontId="6" fillId="0" borderId="0" applyNumberFormat="0" applyFont="0" applyFill="0" applyBorder="0" applyAlignment="0"/>
    <xf numFmtId="0" fontId="6" fillId="0" borderId="0" applyNumberFormat="0" applyFont="0" applyBorder="0" applyAlignment="0"/>
    <xf numFmtId="0" fontId="6" fillId="0" borderId="0" applyNumberFormat="0" applyFont="0" applyBorder="0" applyAlignment="0"/>
    <xf numFmtId="0" fontId="6" fillId="0" borderId="0" applyFill="0">
      <alignment horizontal="left" indent="4"/>
    </xf>
    <xf numFmtId="0" fontId="6" fillId="0" borderId="0" applyNumberFormat="0" applyFont="0" applyBorder="0" applyAlignment="0"/>
    <xf numFmtId="0" fontId="6" fillId="0" borderId="0" applyNumberFormat="0" applyFont="0" applyFill="0" applyBorder="0" applyAlignment="0"/>
    <xf numFmtId="0" fontId="6" fillId="0" borderId="0" applyFont="0" applyFill="0" applyBorder="0" applyAlignment="0" applyProtection="0"/>
    <xf numFmtId="0" fontId="6" fillId="0" borderId="0" applyFont="0" applyFill="0" applyBorder="0" applyAlignment="0" applyProtection="0"/>
    <xf numFmtId="0" fontId="4" fillId="0" borderId="0"/>
    <xf numFmtId="0" fontId="3" fillId="0" borderId="0"/>
    <xf numFmtId="9" fontId="171" fillId="0" borderId="0" applyFont="0" applyFill="0" applyBorder="0" applyAlignment="0" applyProtection="0"/>
    <xf numFmtId="172" fontId="171" fillId="0" borderId="0" applyProtection="0"/>
    <xf numFmtId="43" fontId="3" fillId="0" borderId="0" applyFont="0" applyFill="0" applyBorder="0" applyAlignment="0" applyProtection="0"/>
    <xf numFmtId="43" fontId="171" fillId="0" borderId="0" applyFont="0" applyFill="0" applyBorder="0" applyAlignment="0" applyProtection="0"/>
    <xf numFmtId="0" fontId="6" fillId="0" borderId="0"/>
    <xf numFmtId="172" fontId="7" fillId="0" borderId="0" applyProtection="0"/>
    <xf numFmtId="43" fontId="7" fillId="0" borderId="0" applyFont="0" applyFill="0" applyBorder="0" applyAlignment="0" applyProtection="0"/>
    <xf numFmtId="0" fontId="2" fillId="0" borderId="0"/>
    <xf numFmtId="9" fontId="7" fillId="0" borderId="0" applyFont="0" applyFill="0" applyBorder="0" applyAlignment="0" applyProtection="0"/>
    <xf numFmtId="0" fontId="1" fillId="0" borderId="0"/>
    <xf numFmtId="172" fontId="7" fillId="0" borderId="0" applyProtection="0"/>
    <xf numFmtId="43" fontId="1" fillId="0" borderId="0" applyFont="0" applyFill="0" applyBorder="0" applyAlignment="0" applyProtection="0"/>
    <xf numFmtId="9" fontId="1" fillId="0" borderId="0" applyFont="0" applyFill="0" applyBorder="0" applyAlignment="0" applyProtection="0"/>
  </cellStyleXfs>
  <cellXfs count="1664">
    <xf numFmtId="0" fontId="0" fillId="0" borderId="0" xfId="0"/>
    <xf numFmtId="0" fontId="0" fillId="0" borderId="0" xfId="0" applyAlignment="1">
      <alignment horizontal="center"/>
    </xf>
    <xf numFmtId="0" fontId="0" fillId="0" borderId="0" xfId="0" applyAlignment="1"/>
    <xf numFmtId="3" fontId="9" fillId="0" borderId="0" xfId="0" applyNumberFormat="1" applyFont="1" applyAlignment="1">
      <alignment horizontal="center"/>
    </xf>
    <xf numFmtId="0" fontId="16" fillId="0" borderId="0" xfId="0" applyFont="1" applyFill="1"/>
    <xf numFmtId="0" fontId="16" fillId="0" borderId="0" xfId="0" applyFont="1"/>
    <xf numFmtId="0" fontId="16" fillId="0" borderId="0" xfId="0" applyFont="1" applyFill="1" applyBorder="1"/>
    <xf numFmtId="0" fontId="13" fillId="0" borderId="0" xfId="249" applyFont="1" applyFill="1" applyAlignment="1">
      <alignment horizontal="center"/>
    </xf>
    <xf numFmtId="0" fontId="19" fillId="0" borderId="0" xfId="249" applyFont="1" applyFill="1"/>
    <xf numFmtId="9" fontId="13" fillId="0" borderId="0" xfId="249" quotePrefix="1" applyNumberFormat="1" applyFont="1" applyFill="1" applyAlignment="1">
      <alignment horizontal="center"/>
    </xf>
    <xf numFmtId="0" fontId="21" fillId="0" borderId="0" xfId="249" applyFont="1" applyAlignment="1">
      <alignment horizontal="right"/>
    </xf>
    <xf numFmtId="0" fontId="21" fillId="0" borderId="0" xfId="249" applyFont="1" applyAlignment="1">
      <alignment horizontal="center"/>
    </xf>
    <xf numFmtId="0" fontId="21" fillId="0" borderId="0" xfId="249" applyFont="1" applyFill="1" applyAlignment="1">
      <alignment horizontal="center"/>
    </xf>
    <xf numFmtId="9" fontId="13" fillId="0" borderId="0" xfId="249" applyNumberFormat="1" applyFont="1" applyFill="1" applyAlignment="1">
      <alignment horizontal="center"/>
    </xf>
    <xf numFmtId="0" fontId="22" fillId="0" borderId="0" xfId="0" applyFont="1" applyAlignment="1">
      <alignment horizontal="right"/>
    </xf>
    <xf numFmtId="0" fontId="0" fillId="0" borderId="0" xfId="0" applyBorder="1"/>
    <xf numFmtId="0" fontId="9" fillId="0" borderId="0" xfId="0" applyFont="1" applyFill="1" applyAlignment="1"/>
    <xf numFmtId="0" fontId="0" fillId="0" borderId="0" xfId="0" applyAlignment="1">
      <alignment wrapText="1"/>
    </xf>
    <xf numFmtId="0" fontId="8" fillId="0" borderId="0" xfId="0" applyFont="1"/>
    <xf numFmtId="0" fontId="9" fillId="0" borderId="0" xfId="0" applyFont="1" applyFill="1"/>
    <xf numFmtId="0" fontId="0" fillId="0" borderId="0" xfId="0" applyFill="1"/>
    <xf numFmtId="0" fontId="0" fillId="0" borderId="0" xfId="0" applyFont="1" applyFill="1" applyAlignment="1">
      <alignment horizontal="center"/>
    </xf>
    <xf numFmtId="0" fontId="22" fillId="0" borderId="0" xfId="0" applyFont="1"/>
    <xf numFmtId="0" fontId="16" fillId="0" borderId="0" xfId="249" applyFont="1" applyFill="1"/>
    <xf numFmtId="41" fontId="16" fillId="0" borderId="0" xfId="249" applyNumberFormat="1" applyFont="1" applyFill="1"/>
    <xf numFmtId="0" fontId="19" fillId="0" borderId="0" xfId="249" applyFont="1" applyFill="1" applyAlignment="1">
      <alignment horizontal="left"/>
    </xf>
    <xf numFmtId="3" fontId="16" fillId="0" borderId="0" xfId="0" applyNumberFormat="1" applyFont="1" applyFill="1"/>
    <xf numFmtId="0" fontId="9" fillId="0" borderId="0" xfId="249" applyFont="1" applyFill="1" applyAlignment="1">
      <alignment horizontal="right"/>
    </xf>
    <xf numFmtId="40" fontId="16" fillId="0" borderId="0" xfId="0" applyNumberFormat="1" applyFont="1" applyFill="1"/>
    <xf numFmtId="0" fontId="16" fillId="0" borderId="0" xfId="249" applyFont="1"/>
    <xf numFmtId="0" fontId="9" fillId="0" borderId="0" xfId="249" applyFont="1" applyFill="1"/>
    <xf numFmtId="0" fontId="13" fillId="0" borderId="0" xfId="249" applyFont="1" applyFill="1" applyBorder="1" applyAlignment="1">
      <alignment horizontal="left"/>
    </xf>
    <xf numFmtId="0" fontId="13" fillId="0" borderId="0" xfId="249" applyFont="1" applyFill="1" applyBorder="1"/>
    <xf numFmtId="0" fontId="16" fillId="0" borderId="0" xfId="249" applyFont="1" applyAlignment="1">
      <alignment horizontal="left"/>
    </xf>
    <xf numFmtId="0" fontId="10" fillId="0" borderId="0" xfId="249" applyFont="1" applyFill="1" applyAlignment="1">
      <alignment horizontal="center"/>
    </xf>
    <xf numFmtId="37" fontId="9" fillId="0" borderId="0" xfId="0" applyNumberFormat="1" applyFont="1" applyFill="1" applyAlignment="1"/>
    <xf numFmtId="0" fontId="30" fillId="0" borderId="0" xfId="0" applyFont="1" applyFill="1"/>
    <xf numFmtId="0" fontId="9" fillId="0" borderId="0" xfId="0" applyFont="1" applyAlignment="1">
      <alignment horizontal="center"/>
    </xf>
    <xf numFmtId="37" fontId="9" fillId="0" borderId="0" xfId="0" applyNumberFormat="1" applyFont="1" applyFill="1" applyAlignment="1">
      <alignment horizontal="center"/>
    </xf>
    <xf numFmtId="10" fontId="9" fillId="0" borderId="0" xfId="0" applyNumberFormat="1" applyFont="1" applyFill="1" applyBorder="1" applyAlignment="1"/>
    <xf numFmtId="3" fontId="23" fillId="0" borderId="0" xfId="0" applyNumberFormat="1" applyFont="1" applyFill="1" applyAlignment="1"/>
    <xf numFmtId="41" fontId="31" fillId="0" borderId="0" xfId="249" applyNumberFormat="1" applyFont="1" applyFill="1" applyBorder="1"/>
    <xf numFmtId="0" fontId="32" fillId="0" borderId="0" xfId="249" applyFont="1" applyFill="1" applyAlignment="1">
      <alignment horizontal="left"/>
    </xf>
    <xf numFmtId="0" fontId="30" fillId="0" borderId="0" xfId="249" applyFont="1" applyFill="1"/>
    <xf numFmtId="41" fontId="30" fillId="0" borderId="0" xfId="249" applyNumberFormat="1" applyFont="1" applyFill="1" applyBorder="1"/>
    <xf numFmtId="0" fontId="30" fillId="0" borderId="0" xfId="249" applyFont="1" applyFill="1" applyAlignment="1">
      <alignment horizontal="left"/>
    </xf>
    <xf numFmtId="0" fontId="33" fillId="0" borderId="0" xfId="249" applyFont="1" applyFill="1" applyBorder="1"/>
    <xf numFmtId="0" fontId="30" fillId="0" borderId="0" xfId="249" applyFont="1" applyFill="1" applyAlignment="1">
      <alignment horizontal="center"/>
    </xf>
    <xf numFmtId="0" fontId="14" fillId="0" borderId="0" xfId="249" applyFont="1" applyFill="1" applyAlignment="1">
      <alignment horizontal="center"/>
    </xf>
    <xf numFmtId="173" fontId="30" fillId="0" borderId="0" xfId="249" applyNumberFormat="1" applyFont="1" applyFill="1"/>
    <xf numFmtId="173" fontId="30" fillId="0" borderId="0" xfId="249" applyNumberFormat="1" applyFont="1" applyFill="1" applyBorder="1" applyAlignment="1">
      <alignment vertical="top"/>
    </xf>
    <xf numFmtId="41" fontId="30" fillId="0" borderId="13" xfId="249" applyNumberFormat="1" applyFont="1" applyFill="1" applyBorder="1"/>
    <xf numFmtId="173" fontId="10" fillId="0" borderId="0" xfId="86" applyNumberFormat="1" applyFont="1" applyFill="1" applyAlignment="1">
      <alignment horizontal="center"/>
    </xf>
    <xf numFmtId="0" fontId="9" fillId="0" borderId="0" xfId="249" applyFont="1" applyFill="1" applyAlignment="1">
      <alignment horizontal="center"/>
    </xf>
    <xf numFmtId="0" fontId="34" fillId="0" borderId="0" xfId="249" applyFont="1" applyFill="1" applyBorder="1"/>
    <xf numFmtId="0" fontId="14" fillId="0" borderId="0" xfId="249" applyFont="1" applyAlignment="1">
      <alignment horizontal="center"/>
    </xf>
    <xf numFmtId="41" fontId="9" fillId="0" borderId="13" xfId="249" applyNumberFormat="1" applyFont="1" applyFill="1" applyBorder="1"/>
    <xf numFmtId="38" fontId="16" fillId="0" borderId="0" xfId="0" applyNumberFormat="1" applyFont="1" applyFill="1" applyBorder="1" applyAlignment="1"/>
    <xf numFmtId="3" fontId="16" fillId="0" borderId="0" xfId="0" applyNumberFormat="1" applyFont="1"/>
    <xf numFmtId="40" fontId="16" fillId="0" borderId="0" xfId="0" applyNumberFormat="1" applyFont="1"/>
    <xf numFmtId="43" fontId="9" fillId="0" borderId="0" xfId="249" applyNumberFormat="1" applyFont="1" applyFill="1"/>
    <xf numFmtId="3" fontId="9" fillId="0" borderId="0" xfId="0" applyNumberFormat="1" applyFont="1" applyFill="1" applyAlignment="1"/>
    <xf numFmtId="41" fontId="31" fillId="25" borderId="0" xfId="249" applyNumberFormat="1" applyFont="1" applyFill="1" applyBorder="1"/>
    <xf numFmtId="0" fontId="11" fillId="0" borderId="0" xfId="211" applyFont="1" applyFill="1" applyBorder="1" applyAlignment="1">
      <alignment horizontal="left"/>
    </xf>
    <xf numFmtId="0" fontId="16" fillId="0" borderId="0" xfId="211" applyFont="1" applyBorder="1" applyAlignment="1"/>
    <xf numFmtId="0" fontId="16" fillId="0" borderId="0" xfId="211" applyFont="1" applyBorder="1" applyAlignment="1">
      <alignment horizontal="center"/>
    </xf>
    <xf numFmtId="0" fontId="16" fillId="0" borderId="0" xfId="211" applyFont="1" applyBorder="1"/>
    <xf numFmtId="0" fontId="16" fillId="0" borderId="0" xfId="211" applyNumberFormat="1" applyFont="1" applyFill="1" applyBorder="1" applyAlignment="1">
      <alignment horizontal="left"/>
    </xf>
    <xf numFmtId="0" fontId="13" fillId="0" borderId="0" xfId="211" applyNumberFormat="1" applyFont="1" applyFill="1" applyBorder="1" applyAlignment="1">
      <alignment horizontal="left"/>
    </xf>
    <xf numFmtId="0" fontId="16" fillId="0" borderId="0" xfId="211" applyFont="1" applyFill="1" applyBorder="1" applyAlignment="1">
      <alignment horizontal="center" wrapText="1"/>
    </xf>
    <xf numFmtId="3" fontId="16" fillId="0" borderId="0" xfId="211" applyNumberFormat="1" applyFont="1" applyFill="1" applyBorder="1" applyAlignment="1"/>
    <xf numFmtId="0" fontId="16" fillId="0" borderId="0" xfId="211" applyFont="1" applyFill="1" applyBorder="1" applyAlignment="1"/>
    <xf numFmtId="0" fontId="16" fillId="0" borderId="0" xfId="211" applyNumberFormat="1" applyFont="1" applyFill="1" applyBorder="1" applyAlignment="1">
      <alignment horizontal="center"/>
    </xf>
    <xf numFmtId="173" fontId="16" fillId="0" borderId="0" xfId="89" applyNumberFormat="1" applyFont="1" applyFill="1" applyBorder="1" applyAlignment="1">
      <alignment horizontal="right"/>
    </xf>
    <xf numFmtId="0" fontId="12" fillId="0" borderId="0" xfId="211" applyFont="1" applyFill="1" applyBorder="1" applyAlignment="1"/>
    <xf numFmtId="0" fontId="16" fillId="0" borderId="0" xfId="211" applyFont="1" applyFill="1" applyBorder="1"/>
    <xf numFmtId="0" fontId="13" fillId="0" borderId="0" xfId="211" applyFont="1" applyBorder="1" applyAlignment="1"/>
    <xf numFmtId="0" fontId="13" fillId="0" borderId="0" xfId="211" applyNumberFormat="1" applyFont="1" applyFill="1" applyBorder="1" applyAlignment="1">
      <alignment horizontal="center"/>
    </xf>
    <xf numFmtId="164" fontId="16" fillId="0" borderId="0" xfId="270" applyNumberFormat="1" applyFont="1" applyFill="1" applyBorder="1" applyAlignment="1"/>
    <xf numFmtId="173" fontId="16" fillId="0" borderId="0" xfId="89" applyNumberFormat="1" applyFont="1" applyFill="1" applyBorder="1" applyAlignment="1">
      <alignment horizontal="left"/>
    </xf>
    <xf numFmtId="0" fontId="16" fillId="0" borderId="0" xfId="211" applyFont="1" applyFill="1" applyBorder="1" applyAlignment="1">
      <alignment horizontal="center"/>
    </xf>
    <xf numFmtId="3" fontId="16" fillId="0" borderId="0" xfId="211" applyNumberFormat="1" applyFont="1" applyFill="1" applyBorder="1" applyAlignment="1">
      <alignment horizontal="right"/>
    </xf>
    <xf numFmtId="3" fontId="16" fillId="0" borderId="0" xfId="211" applyNumberFormat="1" applyFont="1" applyFill="1" applyBorder="1" applyAlignment="1">
      <alignment horizontal="center"/>
    </xf>
    <xf numFmtId="0" fontId="0" fillId="0" borderId="0" xfId="0" applyAlignment="1">
      <alignment horizontal="center" wrapText="1"/>
    </xf>
    <xf numFmtId="0" fontId="36" fillId="0" borderId="0" xfId="0" applyFont="1" applyFill="1"/>
    <xf numFmtId="0" fontId="23" fillId="0" borderId="0" xfId="249" applyFont="1" applyFill="1"/>
    <xf numFmtId="0" fontId="21" fillId="0" borderId="0" xfId="211" applyFont="1" applyFill="1" applyBorder="1" applyAlignment="1">
      <alignment horizontal="left"/>
    </xf>
    <xf numFmtId="0" fontId="13" fillId="0" borderId="0" xfId="211" applyFont="1" applyFill="1" applyBorder="1" applyAlignment="1">
      <alignment horizontal="left"/>
    </xf>
    <xf numFmtId="0" fontId="13" fillId="0" borderId="0" xfId="211" applyFont="1" applyFill="1" applyBorder="1" applyAlignment="1">
      <alignment horizontal="center"/>
    </xf>
    <xf numFmtId="173" fontId="16" fillId="0" borderId="14" xfId="89" applyNumberFormat="1" applyFont="1" applyFill="1" applyBorder="1" applyAlignment="1">
      <alignment horizontal="right"/>
    </xf>
    <xf numFmtId="0" fontId="13" fillId="0" borderId="0" xfId="211" applyFont="1" applyBorder="1" applyAlignment="1">
      <alignment horizontal="center"/>
    </xf>
    <xf numFmtId="0" fontId="16" fillId="0" borderId="0" xfId="249" applyFont="1" applyAlignment="1">
      <alignment horizontal="center"/>
    </xf>
    <xf numFmtId="0" fontId="9" fillId="0" borderId="0" xfId="211" applyFont="1" applyBorder="1" applyAlignment="1">
      <alignment horizontal="center"/>
    </xf>
    <xf numFmtId="49" fontId="9" fillId="0" borderId="0" xfId="249" applyNumberFormat="1" applyFont="1" applyAlignment="1">
      <alignment horizontal="center"/>
    </xf>
    <xf numFmtId="0" fontId="13" fillId="0" borderId="0" xfId="211" applyFont="1" applyBorder="1"/>
    <xf numFmtId="3" fontId="14" fillId="0" borderId="0" xfId="0" applyNumberFormat="1" applyFont="1" applyFill="1" applyAlignment="1">
      <alignment horizontal="center"/>
    </xf>
    <xf numFmtId="173" fontId="6" fillId="0" borderId="0" xfId="86" applyNumberFormat="1"/>
    <xf numFmtId="0" fontId="8" fillId="0" borderId="0" xfId="0" applyFont="1" applyFill="1"/>
    <xf numFmtId="0" fontId="16" fillId="0" borderId="0" xfId="0" applyFont="1" applyBorder="1"/>
    <xf numFmtId="0" fontId="16" fillId="0" borderId="0" xfId="0" applyFont="1" applyAlignment="1">
      <alignment horizontal="center"/>
    </xf>
    <xf numFmtId="173" fontId="16" fillId="0" borderId="0" xfId="86" applyNumberFormat="1" applyFont="1"/>
    <xf numFmtId="10" fontId="16" fillId="0" borderId="0" xfId="0" applyNumberFormat="1" applyFont="1"/>
    <xf numFmtId="173" fontId="6" fillId="0" borderId="0" xfId="86" applyNumberFormat="1" applyFill="1"/>
    <xf numFmtId="10" fontId="0" fillId="0" borderId="0" xfId="0" applyNumberFormat="1"/>
    <xf numFmtId="184" fontId="22" fillId="0" borderId="0" xfId="260" applyNumberFormat="1" applyFont="1"/>
    <xf numFmtId="0" fontId="75" fillId="0" borderId="0" xfId="260" applyFont="1"/>
    <xf numFmtId="184" fontId="22" fillId="0" borderId="0" xfId="260" applyNumberFormat="1" applyFont="1" applyAlignment="1">
      <alignment horizontal="center"/>
    </xf>
    <xf numFmtId="0" fontId="16" fillId="0" borderId="0" xfId="260" applyFont="1"/>
    <xf numFmtId="0" fontId="22" fillId="0" borderId="0" xfId="260" applyFont="1"/>
    <xf numFmtId="0" fontId="22" fillId="0" borderId="0" xfId="260" applyNumberFormat="1" applyFont="1" applyAlignment="1">
      <alignment horizontal="center"/>
    </xf>
    <xf numFmtId="0" fontId="22" fillId="0" borderId="0" xfId="260" applyNumberFormat="1" applyFont="1"/>
    <xf numFmtId="0" fontId="22" fillId="0" borderId="0" xfId="260" applyNumberFormat="1" applyFont="1" applyBorder="1" applyAlignment="1">
      <alignment horizontal="center"/>
    </xf>
    <xf numFmtId="184" fontId="76" fillId="0" borderId="0" xfId="260" applyNumberFormat="1" applyFont="1"/>
    <xf numFmtId="0" fontId="77" fillId="0" borderId="0" xfId="260" applyFont="1"/>
    <xf numFmtId="173" fontId="75" fillId="0" borderId="0" xfId="260" applyNumberFormat="1" applyFont="1"/>
    <xf numFmtId="0" fontId="78" fillId="0" borderId="0" xfId="260" applyFont="1"/>
    <xf numFmtId="184" fontId="16" fillId="0" borderId="0" xfId="260" applyNumberFormat="1" applyFont="1"/>
    <xf numFmtId="0" fontId="79" fillId="0" borderId="0" xfId="256" applyFont="1" applyFill="1" applyAlignment="1">
      <alignment horizontal="center"/>
    </xf>
    <xf numFmtId="0" fontId="79" fillId="0" borderId="0" xfId="256" applyFont="1" applyFill="1" applyAlignment="1">
      <alignment horizontal="left" indent="2"/>
    </xf>
    <xf numFmtId="39" fontId="79" fillId="0" borderId="0" xfId="256" applyNumberFormat="1" applyFont="1" applyFill="1"/>
    <xf numFmtId="0" fontId="75" fillId="0" borderId="0" xfId="260" applyFont="1" applyFill="1"/>
    <xf numFmtId="0" fontId="16" fillId="0" borderId="0" xfId="260" applyNumberFormat="1" applyFont="1" applyAlignment="1">
      <alignment horizontal="center"/>
    </xf>
    <xf numFmtId="0" fontId="16" fillId="0" borderId="0" xfId="260" applyNumberFormat="1" applyFont="1"/>
    <xf numFmtId="43" fontId="75" fillId="0" borderId="0" xfId="86" applyFont="1"/>
    <xf numFmtId="173" fontId="75" fillId="0" borderId="14" xfId="86" applyNumberFormat="1" applyFont="1" applyBorder="1"/>
    <xf numFmtId="0" fontId="75" fillId="0" borderId="0" xfId="0" applyFont="1"/>
    <xf numFmtId="173" fontId="75" fillId="0" borderId="0" xfId="260" applyNumberFormat="1" applyFont="1" applyBorder="1"/>
    <xf numFmtId="0" fontId="82" fillId="0" borderId="0" xfId="260" applyFont="1" applyAlignment="1">
      <alignment horizontal="center"/>
    </xf>
    <xf numFmtId="173" fontId="0" fillId="0" borderId="0" xfId="86" applyNumberFormat="1" applyFont="1" applyFill="1"/>
    <xf numFmtId="173" fontId="0" fillId="0" borderId="0" xfId="0" applyNumberFormat="1"/>
    <xf numFmtId="41" fontId="16" fillId="0" borderId="0" xfId="249" applyNumberFormat="1" applyFont="1"/>
    <xf numFmtId="173" fontId="16" fillId="0" borderId="0" xfId="86" applyNumberFormat="1" applyFont="1" applyFill="1"/>
    <xf numFmtId="0" fontId="13" fillId="0" borderId="0" xfId="249" applyFont="1" applyAlignment="1">
      <alignment horizontal="center" wrapText="1"/>
    </xf>
    <xf numFmtId="38" fontId="16" fillId="0" borderId="0" xfId="0" applyNumberFormat="1" applyFont="1" applyFill="1" applyBorder="1" applyAlignment="1">
      <alignment horizontal="center"/>
    </xf>
    <xf numFmtId="0" fontId="6" fillId="0" borderId="0" xfId="249" applyFill="1" applyAlignment="1">
      <alignment horizontal="left"/>
    </xf>
    <xf numFmtId="0" fontId="83" fillId="0" borderId="0" xfId="249" applyFont="1" applyFill="1" applyBorder="1" applyAlignment="1">
      <alignment horizontal="left"/>
    </xf>
    <xf numFmtId="0" fontId="6" fillId="0" borderId="0" xfId="249" applyFill="1"/>
    <xf numFmtId="0" fontId="83" fillId="0" borderId="0" xfId="249" applyFont="1" applyFill="1" applyBorder="1"/>
    <xf numFmtId="0" fontId="73" fillId="0" borderId="0" xfId="249" applyFont="1" applyFill="1" applyAlignment="1">
      <alignment horizontal="center"/>
    </xf>
    <xf numFmtId="38" fontId="16" fillId="0" borderId="15" xfId="0" applyNumberFormat="1" applyFont="1" applyFill="1" applyBorder="1"/>
    <xf numFmtId="38" fontId="16" fillId="0" borderId="0" xfId="0" applyNumberFormat="1" applyFont="1" applyFill="1" applyBorder="1"/>
    <xf numFmtId="0" fontId="84" fillId="0" borderId="0" xfId="211" applyNumberFormat="1" applyFont="1" applyFill="1" applyBorder="1" applyAlignment="1">
      <alignment horizontal="left"/>
    </xf>
    <xf numFmtId="38" fontId="16" fillId="0" borderId="0" xfId="211" applyNumberFormat="1" applyFont="1" applyFill="1" applyBorder="1" applyAlignment="1">
      <alignment horizontal="right"/>
    </xf>
    <xf numFmtId="0" fontId="16" fillId="0" borderId="0" xfId="211" applyNumberFormat="1" applyFont="1" applyFill="1" applyBorder="1" applyAlignment="1">
      <alignment horizontal="right"/>
    </xf>
    <xf numFmtId="38" fontId="16" fillId="0" borderId="0" xfId="0" applyNumberFormat="1" applyFont="1" applyBorder="1" applyAlignment="1">
      <alignment horizontal="right"/>
    </xf>
    <xf numFmtId="0" fontId="8" fillId="0" borderId="0" xfId="0" applyFont="1" applyAlignment="1">
      <alignment horizontal="center"/>
    </xf>
    <xf numFmtId="0" fontId="8" fillId="0" borderId="0" xfId="211" applyFont="1" applyBorder="1" applyAlignment="1">
      <alignment horizontal="center"/>
    </xf>
    <xf numFmtId="38" fontId="12" fillId="0" borderId="0" xfId="211" applyNumberFormat="1" applyFont="1" applyFill="1" applyBorder="1" applyAlignment="1"/>
    <xf numFmtId="173" fontId="12" fillId="0" borderId="14" xfId="86" applyNumberFormat="1" applyFont="1" applyFill="1" applyBorder="1" applyAlignment="1"/>
    <xf numFmtId="0" fontId="16" fillId="0" borderId="14" xfId="211" applyNumberFormat="1" applyFont="1" applyFill="1" applyBorder="1" applyAlignment="1">
      <alignment horizontal="left"/>
    </xf>
    <xf numFmtId="0" fontId="22" fillId="0" borderId="0" xfId="260" applyNumberFormat="1" applyFont="1" applyFill="1" applyAlignment="1">
      <alignment horizontal="center"/>
    </xf>
    <xf numFmtId="0" fontId="16" fillId="0" borderId="0" xfId="260" applyNumberFormat="1" applyFont="1" applyFill="1"/>
    <xf numFmtId="41" fontId="75" fillId="0" borderId="0" xfId="260" applyNumberFormat="1" applyFont="1" applyFill="1"/>
    <xf numFmtId="41" fontId="75" fillId="0" borderId="0" xfId="260" applyNumberFormat="1" applyFont="1" applyFill="1" applyBorder="1"/>
    <xf numFmtId="173" fontId="75" fillId="0" borderId="0" xfId="260" applyNumberFormat="1" applyFont="1" applyFill="1"/>
    <xf numFmtId="173" fontId="75" fillId="0" borderId="0" xfId="86" applyNumberFormat="1" applyFont="1" applyFill="1"/>
    <xf numFmtId="3" fontId="8" fillId="0" borderId="0" xfId="0" applyNumberFormat="1" applyFont="1" applyAlignment="1">
      <alignment horizontal="center"/>
    </xf>
    <xf numFmtId="10" fontId="16" fillId="0" borderId="0" xfId="268" applyNumberFormat="1" applyFont="1" applyAlignment="1">
      <alignment horizontal="right"/>
    </xf>
    <xf numFmtId="0" fontId="13" fillId="0" borderId="0" xfId="0" applyFont="1" applyAlignment="1">
      <alignment horizontal="center" wrapText="1"/>
    </xf>
    <xf numFmtId="0" fontId="13" fillId="0" borderId="0" xfId="0" applyFont="1" applyAlignment="1">
      <alignment wrapText="1"/>
    </xf>
    <xf numFmtId="10" fontId="12" fillId="0" borderId="0" xfId="268" applyNumberFormat="1" applyFont="1"/>
    <xf numFmtId="174" fontId="6" fillId="0" borderId="0" xfId="117" applyNumberFormat="1"/>
    <xf numFmtId="0" fontId="8" fillId="0" borderId="0" xfId="0" applyFont="1" applyAlignment="1">
      <alignment horizontal="right"/>
    </xf>
    <xf numFmtId="0" fontId="16" fillId="0" borderId="0" xfId="0" applyFont="1" applyAlignment="1">
      <alignment horizontal="centerContinuous"/>
    </xf>
    <xf numFmtId="0" fontId="13" fillId="0" borderId="0" xfId="0" applyFont="1" applyAlignment="1">
      <alignment horizontal="center"/>
    </xf>
    <xf numFmtId="173" fontId="0" fillId="0" borderId="0" xfId="86" applyNumberFormat="1" applyFont="1"/>
    <xf numFmtId="0" fontId="19" fillId="0" borderId="0" xfId="249" applyFont="1"/>
    <xf numFmtId="0" fontId="6" fillId="0" borderId="0" xfId="249" applyAlignment="1">
      <alignment horizontal="left"/>
    </xf>
    <xf numFmtId="0" fontId="6" fillId="0" borderId="0" xfId="249"/>
    <xf numFmtId="0" fontId="19" fillId="0" borderId="0" xfId="249" applyFont="1" applyAlignment="1">
      <alignment horizontal="left"/>
    </xf>
    <xf numFmtId="173" fontId="16" fillId="0" borderId="0" xfId="211" applyNumberFormat="1" applyFont="1" applyFill="1" applyBorder="1"/>
    <xf numFmtId="0" fontId="16" fillId="25" borderId="0" xfId="211" applyNumberFormat="1" applyFont="1" applyFill="1" applyBorder="1" applyAlignment="1">
      <alignment horizontal="center"/>
    </xf>
    <xf numFmtId="0" fontId="13" fillId="25" borderId="0" xfId="211" applyNumberFormat="1" applyFont="1" applyFill="1" applyBorder="1" applyAlignment="1">
      <alignment horizontal="left"/>
    </xf>
    <xf numFmtId="0" fontId="12" fillId="25" borderId="0" xfId="211" applyFont="1" applyFill="1" applyBorder="1" applyAlignment="1"/>
    <xf numFmtId="0" fontId="16" fillId="25" borderId="0" xfId="211" applyNumberFormat="1" applyFont="1" applyFill="1" applyBorder="1" applyAlignment="1">
      <alignment horizontal="left"/>
    </xf>
    <xf numFmtId="0" fontId="16" fillId="25" borderId="0" xfId="211" applyFont="1" applyFill="1" applyBorder="1"/>
    <xf numFmtId="173" fontId="16" fillId="25" borderId="0" xfId="89" applyNumberFormat="1" applyFont="1" applyFill="1" applyBorder="1" applyAlignment="1">
      <alignment horizontal="right"/>
    </xf>
    <xf numFmtId="0" fontId="0" fillId="25" borderId="0" xfId="0" applyFill="1" applyBorder="1"/>
    <xf numFmtId="164" fontId="16" fillId="25" borderId="0" xfId="270" applyNumberFormat="1" applyFont="1" applyFill="1" applyBorder="1" applyAlignment="1"/>
    <xf numFmtId="173" fontId="16" fillId="25" borderId="0" xfId="89" applyNumberFormat="1" applyFont="1" applyFill="1" applyBorder="1" applyAlignment="1">
      <alignment horizontal="left"/>
    </xf>
    <xf numFmtId="0" fontId="19" fillId="0" borderId="0" xfId="249" applyFont="1" applyAlignment="1"/>
    <xf numFmtId="0" fontId="17" fillId="0" borderId="0" xfId="0" applyFont="1" applyBorder="1"/>
    <xf numFmtId="0" fontId="21" fillId="0" borderId="0" xfId="211" applyFont="1" applyFill="1" applyBorder="1" applyAlignment="1">
      <alignment horizontal="center"/>
    </xf>
    <xf numFmtId="0" fontId="17" fillId="0" borderId="0" xfId="211" applyNumberFormat="1" applyFont="1" applyFill="1" applyBorder="1" applyAlignment="1">
      <alignment horizontal="left"/>
    </xf>
    <xf numFmtId="173" fontId="17" fillId="0" borderId="0" xfId="89" applyNumberFormat="1" applyFont="1" applyFill="1" applyBorder="1" applyAlignment="1">
      <alignment horizontal="right"/>
    </xf>
    <xf numFmtId="0" fontId="18" fillId="0" borderId="0" xfId="249" applyFont="1" applyFill="1"/>
    <xf numFmtId="0" fontId="86" fillId="0" borderId="0" xfId="249" applyFont="1" applyFill="1"/>
    <xf numFmtId="9" fontId="14" fillId="0" borderId="0" xfId="249" quotePrefix="1" applyNumberFormat="1" applyFont="1" applyFill="1" applyAlignment="1">
      <alignment horizontal="center"/>
    </xf>
    <xf numFmtId="0" fontId="8" fillId="0" borderId="0" xfId="260" applyNumberFormat="1" applyFont="1" applyAlignment="1">
      <alignment horizontal="center"/>
    </xf>
    <xf numFmtId="0" fontId="8" fillId="0" borderId="0" xfId="260" applyNumberFormat="1" applyFont="1"/>
    <xf numFmtId="184" fontId="8" fillId="0" borderId="0" xfId="260" applyNumberFormat="1" applyFont="1" applyAlignment="1">
      <alignment horizontal="center"/>
    </xf>
    <xf numFmtId="0" fontId="13" fillId="0" borderId="0" xfId="260" applyFont="1"/>
    <xf numFmtId="0" fontId="8" fillId="0" borderId="11" xfId="260" applyNumberFormat="1" applyFont="1" applyBorder="1" applyAlignment="1">
      <alignment horizontal="center"/>
    </xf>
    <xf numFmtId="184" fontId="8" fillId="0" borderId="11" xfId="260" applyNumberFormat="1" applyFont="1" applyBorder="1" applyAlignment="1">
      <alignment horizontal="center"/>
    </xf>
    <xf numFmtId="0" fontId="78" fillId="0" borderId="11" xfId="260" applyFont="1" applyBorder="1" applyAlignment="1">
      <alignment horizontal="center"/>
    </xf>
    <xf numFmtId="0" fontId="13" fillId="0" borderId="0" xfId="260" applyFont="1" applyAlignment="1">
      <alignment horizontal="center"/>
    </xf>
    <xf numFmtId="0" fontId="87" fillId="0" borderId="0" xfId="260" applyFont="1" applyFill="1"/>
    <xf numFmtId="0" fontId="13" fillId="0" borderId="0" xfId="0" applyFont="1" applyAlignment="1">
      <alignment horizontal="left"/>
    </xf>
    <xf numFmtId="173" fontId="89" fillId="0" borderId="0" xfId="86" applyNumberFormat="1" applyFont="1" applyFill="1"/>
    <xf numFmtId="173" fontId="75" fillId="0" borderId="0" xfId="86" applyNumberFormat="1" applyFont="1" applyFill="1" applyBorder="1"/>
    <xf numFmtId="41" fontId="90" fillId="26" borderId="0" xfId="260" applyNumberFormat="1" applyFont="1" applyFill="1"/>
    <xf numFmtId="41" fontId="90" fillId="26" borderId="0" xfId="260" applyNumberFormat="1" applyFont="1" applyFill="1" applyBorder="1"/>
    <xf numFmtId="0" fontId="94" fillId="0" borderId="0" xfId="0" applyFont="1" applyBorder="1" applyAlignment="1">
      <alignment horizontal="center"/>
    </xf>
    <xf numFmtId="0" fontId="93" fillId="0" borderId="0" xfId="249" applyFont="1" applyFill="1" applyAlignment="1">
      <alignment horizontal="center"/>
    </xf>
    <xf numFmtId="0" fontId="9" fillId="0" borderId="0" xfId="260" applyFont="1"/>
    <xf numFmtId="173" fontId="9" fillId="0" borderId="0" xfId="260" applyNumberFormat="1" applyFont="1"/>
    <xf numFmtId="164" fontId="0" fillId="0" borderId="0" xfId="268" applyNumberFormat="1" applyFont="1"/>
    <xf numFmtId="173" fontId="97" fillId="0" borderId="0" xfId="260" applyNumberFormat="1" applyFont="1" applyFill="1" applyBorder="1"/>
    <xf numFmtId="0" fontId="27" fillId="0" borderId="0" xfId="249" applyFont="1" applyFill="1" applyAlignment="1">
      <alignment horizontal="center"/>
    </xf>
    <xf numFmtId="37" fontId="16" fillId="0" borderId="15" xfId="0" applyNumberFormat="1" applyFont="1" applyFill="1" applyBorder="1"/>
    <xf numFmtId="37" fontId="16" fillId="0" borderId="0" xfId="211" applyNumberFormat="1" applyFont="1" applyFill="1" applyBorder="1" applyAlignment="1">
      <alignment horizontal="right"/>
    </xf>
    <xf numFmtId="37" fontId="12" fillId="0" borderId="0" xfId="211" applyNumberFormat="1" applyFont="1" applyFill="1" applyBorder="1" applyAlignment="1"/>
    <xf numFmtId="0" fontId="100" fillId="0" borderId="0" xfId="249" applyFont="1" applyFill="1" applyBorder="1"/>
    <xf numFmtId="0" fontId="16" fillId="0" borderId="0" xfId="0" applyFont="1" applyAlignment="1"/>
    <xf numFmtId="0" fontId="16" fillId="0" borderId="0" xfId="0" applyFont="1" applyAlignment="1">
      <alignment horizontal="center" wrapText="1"/>
    </xf>
    <xf numFmtId="0" fontId="36" fillId="0" borderId="0" xfId="0" applyFont="1" applyAlignment="1">
      <alignment wrapText="1"/>
    </xf>
    <xf numFmtId="0" fontId="36" fillId="0" borderId="0" xfId="0" applyFont="1"/>
    <xf numFmtId="0" fontId="36" fillId="0" borderId="0" xfId="0" applyFont="1" applyAlignment="1">
      <alignment horizontal="center" wrapText="1"/>
    </xf>
    <xf numFmtId="173" fontId="0" fillId="0" borderId="14" xfId="0" applyNumberFormat="1" applyBorder="1"/>
    <xf numFmtId="9" fontId="0" fillId="0" borderId="0" xfId="268" applyFont="1"/>
    <xf numFmtId="0" fontId="102" fillId="0" borderId="0" xfId="0" applyFont="1" applyAlignment="1">
      <alignment horizontal="center" wrapText="1"/>
    </xf>
    <xf numFmtId="0" fontId="22" fillId="0" borderId="0" xfId="256" applyFont="1" applyFill="1" applyAlignment="1">
      <alignment horizontal="center"/>
    </xf>
    <xf numFmtId="0" fontId="36" fillId="0" borderId="0" xfId="249" applyFont="1" applyFill="1" applyAlignment="1">
      <alignment horizontal="left"/>
    </xf>
    <xf numFmtId="0" fontId="36" fillId="0" borderId="0" xfId="249" applyFont="1" applyFill="1"/>
    <xf numFmtId="0" fontId="104" fillId="0" borderId="0" xfId="249" applyFont="1" applyFill="1" applyAlignment="1">
      <alignment horizontal="center"/>
    </xf>
    <xf numFmtId="0" fontId="105" fillId="0" borderId="0" xfId="249" applyFont="1" applyFill="1" applyBorder="1"/>
    <xf numFmtId="188" fontId="106" fillId="0" borderId="0" xfId="211" applyNumberFormat="1" applyFont="1" applyFill="1" applyBorder="1" applyAlignment="1">
      <alignment horizontal="center"/>
    </xf>
    <xf numFmtId="38" fontId="0" fillId="0" borderId="0" xfId="0" applyNumberFormat="1" applyBorder="1"/>
    <xf numFmtId="0" fontId="6" fillId="0" borderId="0" xfId="0" applyFont="1"/>
    <xf numFmtId="3" fontId="17" fillId="0" borderId="0" xfId="211" applyNumberFormat="1" applyFont="1" applyBorder="1" applyAlignment="1">
      <alignment horizontal="center"/>
    </xf>
    <xf numFmtId="0" fontId="107" fillId="0" borderId="0" xfId="260" applyFont="1" applyFill="1"/>
    <xf numFmtId="41" fontId="107" fillId="0" borderId="0" xfId="260" applyNumberFormat="1" applyFont="1" applyFill="1"/>
    <xf numFmtId="41" fontId="107" fillId="0" borderId="0" xfId="260" applyNumberFormat="1" applyFont="1" applyFill="1" applyBorder="1"/>
    <xf numFmtId="0" fontId="0" fillId="0" borderId="0" xfId="0" applyFill="1" applyAlignment="1"/>
    <xf numFmtId="43" fontId="9" fillId="0" borderId="0" xfId="86" applyFont="1" applyAlignment="1">
      <alignment horizontal="center"/>
    </xf>
    <xf numFmtId="43" fontId="9" fillId="0" borderId="0" xfId="86" applyFont="1" applyBorder="1" applyAlignment="1">
      <alignment horizontal="center"/>
    </xf>
    <xf numFmtId="43" fontId="8" fillId="0" borderId="0" xfId="86" applyFont="1" applyBorder="1" applyAlignment="1">
      <alignment horizontal="center"/>
    </xf>
    <xf numFmtId="43" fontId="8" fillId="0" borderId="0" xfId="86" applyFont="1" applyAlignment="1">
      <alignment horizontal="center"/>
    </xf>
    <xf numFmtId="43" fontId="19" fillId="0" borderId="0" xfId="86" applyFont="1"/>
    <xf numFmtId="0" fontId="10" fillId="0" borderId="0" xfId="249" applyFont="1" applyFill="1" applyBorder="1" applyAlignment="1">
      <alignment horizontal="center"/>
    </xf>
    <xf numFmtId="0" fontId="9" fillId="0" borderId="0" xfId="0" applyFont="1" applyBorder="1" applyAlignment="1">
      <alignment horizontal="center"/>
    </xf>
    <xf numFmtId="0" fontId="8" fillId="0" borderId="0" xfId="260" applyNumberFormat="1" applyFont="1" applyBorder="1" applyAlignment="1">
      <alignment horizontal="center"/>
    </xf>
    <xf numFmtId="0" fontId="16" fillId="0" borderId="0" xfId="260" applyFont="1" applyBorder="1"/>
    <xf numFmtId="0" fontId="8" fillId="0" borderId="11" xfId="260" applyNumberFormat="1" applyFont="1" applyBorder="1"/>
    <xf numFmtId="184" fontId="8" fillId="0" borderId="0" xfId="260" applyNumberFormat="1" applyFont="1" applyBorder="1" applyAlignment="1">
      <alignment horizontal="center"/>
    </xf>
    <xf numFmtId="0" fontId="16" fillId="0" borderId="0" xfId="260" applyFont="1" applyFill="1"/>
    <xf numFmtId="0" fontId="75" fillId="0" borderId="0" xfId="260" applyFont="1" applyAlignment="1">
      <alignment horizontal="center"/>
    </xf>
    <xf numFmtId="173" fontId="81" fillId="0" borderId="0" xfId="260" applyNumberFormat="1" applyFont="1" applyFill="1" applyBorder="1"/>
    <xf numFmtId="0" fontId="22" fillId="0" borderId="0" xfId="260" applyFont="1" applyFill="1"/>
    <xf numFmtId="3" fontId="81" fillId="0" borderId="0" xfId="260" applyNumberFormat="1" applyFont="1" applyFill="1" applyBorder="1"/>
    <xf numFmtId="173" fontId="81" fillId="0" borderId="0" xfId="260" applyNumberFormat="1" applyFont="1" applyFill="1"/>
    <xf numFmtId="0" fontId="0" fillId="0" borderId="0" xfId="0" applyBorder="1" applyAlignment="1">
      <alignment horizontal="center"/>
    </xf>
    <xf numFmtId="0" fontId="75" fillId="0" borderId="0" xfId="260" applyFont="1" applyFill="1" applyBorder="1"/>
    <xf numFmtId="173" fontId="75" fillId="0" borderId="0" xfId="260" applyNumberFormat="1" applyFont="1" applyFill="1" applyBorder="1"/>
    <xf numFmtId="0" fontId="26" fillId="0" borderId="0" xfId="249" applyFont="1" applyFill="1" applyBorder="1"/>
    <xf numFmtId="38" fontId="30" fillId="0" borderId="13" xfId="249" applyNumberFormat="1" applyFont="1" applyFill="1" applyBorder="1" applyAlignment="1">
      <alignment horizontal="right"/>
    </xf>
    <xf numFmtId="0" fontId="36" fillId="0" borderId="0" xfId="249" applyFont="1" applyAlignment="1">
      <alignment horizontal="center"/>
    </xf>
    <xf numFmtId="0" fontId="79" fillId="0" borderId="0" xfId="260" applyNumberFormat="1" applyFont="1" applyFill="1"/>
    <xf numFmtId="10" fontId="7" fillId="0" borderId="0" xfId="261" applyNumberFormat="1" applyProtection="1"/>
    <xf numFmtId="10" fontId="7" fillId="0" borderId="16" xfId="261" applyNumberFormat="1" applyBorder="1" applyProtection="1"/>
    <xf numFmtId="192" fontId="7" fillId="0" borderId="16" xfId="261" applyNumberFormat="1" applyBorder="1" applyProtection="1"/>
    <xf numFmtId="176" fontId="7" fillId="0" borderId="16" xfId="261" applyNumberFormat="1" applyBorder="1" applyProtection="1"/>
    <xf numFmtId="191" fontId="7" fillId="0" borderId="16" xfId="261" applyNumberFormat="1" applyBorder="1" applyProtection="1"/>
    <xf numFmtId="194" fontId="7" fillId="0" borderId="0" xfId="261" applyNumberFormat="1" applyProtection="1"/>
    <xf numFmtId="176" fontId="7" fillId="0" borderId="0" xfId="261" applyNumberFormat="1" applyProtection="1"/>
    <xf numFmtId="191" fontId="7" fillId="0" borderId="0" xfId="261" applyNumberFormat="1" applyProtection="1"/>
    <xf numFmtId="10" fontId="120" fillId="0" borderId="0" xfId="261" applyNumberFormat="1" applyFont="1" applyProtection="1"/>
    <xf numFmtId="173" fontId="123" fillId="0" borderId="0" xfId="0" applyNumberFormat="1" applyFont="1"/>
    <xf numFmtId="0" fontId="110" fillId="0" borderId="0" xfId="211" applyFont="1" applyFill="1" applyBorder="1" applyAlignment="1">
      <alignment horizontal="center"/>
    </xf>
    <xf numFmtId="0" fontId="102" fillId="0" borderId="0" xfId="211" applyFont="1" applyFill="1" applyBorder="1" applyAlignment="1">
      <alignment horizontal="left"/>
    </xf>
    <xf numFmtId="0" fontId="36" fillId="0" borderId="0" xfId="211" applyNumberFormat="1" applyFont="1" applyFill="1" applyBorder="1" applyAlignment="1">
      <alignment horizontal="center"/>
    </xf>
    <xf numFmtId="0" fontId="36" fillId="0" borderId="0" xfId="211" applyNumberFormat="1" applyFont="1" applyFill="1" applyBorder="1" applyAlignment="1">
      <alignment horizontal="left"/>
    </xf>
    <xf numFmtId="0" fontId="36" fillId="0" borderId="0" xfId="211" applyFont="1" applyFill="1" applyBorder="1" applyAlignment="1"/>
    <xf numFmtId="0" fontId="36" fillId="0" borderId="0" xfId="211" applyFont="1" applyFill="1" applyBorder="1" applyAlignment="1">
      <alignment horizontal="center"/>
    </xf>
    <xf numFmtId="0" fontId="36" fillId="0" borderId="0" xfId="211" applyFont="1" applyBorder="1"/>
    <xf numFmtId="0" fontId="36" fillId="0" borderId="0" xfId="211" applyFont="1" applyFill="1" applyBorder="1"/>
    <xf numFmtId="3" fontId="36" fillId="0" borderId="0" xfId="211" applyNumberFormat="1" applyFont="1" applyFill="1" applyBorder="1" applyAlignment="1"/>
    <xf numFmtId="0" fontId="110" fillId="0" borderId="0" xfId="211" applyFont="1" applyFill="1" applyBorder="1"/>
    <xf numFmtId="38" fontId="16" fillId="0" borderId="0" xfId="0" applyNumberFormat="1" applyFont="1" applyBorder="1"/>
    <xf numFmtId="0" fontId="36" fillId="0" borderId="0" xfId="249" applyFont="1" applyFill="1" applyBorder="1"/>
    <xf numFmtId="0" fontId="122" fillId="0" borderId="0" xfId="249" applyFont="1" applyFill="1" applyAlignment="1">
      <alignment horizontal="center"/>
    </xf>
    <xf numFmtId="0" fontId="16" fillId="0" borderId="0" xfId="249" applyFont="1" applyFill="1" applyBorder="1"/>
    <xf numFmtId="0" fontId="102" fillId="0" borderId="0" xfId="0" applyFont="1" applyAlignment="1">
      <alignment horizontal="center"/>
    </xf>
    <xf numFmtId="41" fontId="0" fillId="0" borderId="0" xfId="0" applyNumberFormat="1" applyFill="1"/>
    <xf numFmtId="37" fontId="124" fillId="0" borderId="13" xfId="0" applyNumberFormat="1" applyFont="1" applyBorder="1"/>
    <xf numFmtId="0" fontId="30" fillId="0" borderId="0" xfId="0" applyFont="1" applyFill="1" applyAlignment="1">
      <alignment horizontal="left"/>
    </xf>
    <xf numFmtId="0" fontId="30" fillId="0" borderId="0" xfId="0" applyFont="1" applyFill="1" applyBorder="1"/>
    <xf numFmtId="41" fontId="30" fillId="0" borderId="11" xfId="249" applyNumberFormat="1" applyFont="1" applyFill="1" applyBorder="1"/>
    <xf numFmtId="3" fontId="23" fillId="31" borderId="0" xfId="0" applyNumberFormat="1" applyFont="1" applyFill="1" applyAlignment="1"/>
    <xf numFmtId="3" fontId="23" fillId="31" borderId="0" xfId="0" applyNumberFormat="1" applyFont="1" applyFill="1" applyBorder="1" applyAlignment="1"/>
    <xf numFmtId="173" fontId="81" fillId="31" borderId="0" xfId="260" applyNumberFormat="1" applyFont="1" applyFill="1" applyBorder="1"/>
    <xf numFmtId="0" fontId="75" fillId="31" borderId="0" xfId="260" applyFont="1" applyFill="1" applyAlignment="1">
      <alignment horizontal="center"/>
    </xf>
    <xf numFmtId="174" fontId="0" fillId="0" borderId="0" xfId="117" applyNumberFormat="1" applyFont="1"/>
    <xf numFmtId="0" fontId="16" fillId="0" borderId="0" xfId="249" applyFont="1" applyFill="1" applyAlignment="1">
      <alignment horizontal="center"/>
    </xf>
    <xf numFmtId="3" fontId="36" fillId="31" borderId="0" xfId="211" applyNumberFormat="1" applyFont="1" applyFill="1" applyBorder="1" applyAlignment="1"/>
    <xf numFmtId="0" fontId="78" fillId="0" borderId="0" xfId="260" applyFont="1" applyFill="1"/>
    <xf numFmtId="0" fontId="75" fillId="31" borderId="0" xfId="260" applyFont="1" applyFill="1"/>
    <xf numFmtId="10" fontId="7" fillId="0" borderId="0" xfId="261" applyNumberFormat="1" applyBorder="1" applyProtection="1"/>
    <xf numFmtId="192" fontId="7" fillId="0" borderId="0" xfId="261" applyNumberFormat="1" applyBorder="1" applyProtection="1"/>
    <xf numFmtId="191" fontId="7" fillId="0" borderId="0" xfId="261" applyNumberFormat="1" applyBorder="1" applyProtection="1"/>
    <xf numFmtId="176" fontId="7" fillId="0" borderId="0" xfId="261" applyNumberFormat="1" applyBorder="1" applyProtection="1"/>
    <xf numFmtId="172" fontId="7" fillId="0" borderId="0" xfId="259" applyFont="1" applyAlignment="1" applyProtection="1"/>
    <xf numFmtId="172" fontId="9" fillId="0" borderId="0" xfId="259" applyFont="1" applyAlignment="1" applyProtection="1"/>
    <xf numFmtId="0" fontId="0" fillId="0" borderId="0" xfId="0" applyBorder="1" applyProtection="1"/>
    <xf numFmtId="0" fontId="10" fillId="0" borderId="0" xfId="259" applyNumberFormat="1" applyFont="1" applyBorder="1" applyAlignment="1" applyProtection="1">
      <alignment horizontal="left"/>
    </xf>
    <xf numFmtId="14" fontId="10" fillId="0" borderId="0" xfId="259" applyNumberFormat="1" applyFont="1" applyBorder="1" applyAlignment="1" applyProtection="1"/>
    <xf numFmtId="172" fontId="10" fillId="0" borderId="0" xfId="259" applyFont="1" applyFill="1" applyAlignment="1" applyProtection="1"/>
    <xf numFmtId="172" fontId="9" fillId="0" borderId="0" xfId="259" applyFont="1" applyFill="1" applyAlignment="1" applyProtection="1"/>
    <xf numFmtId="0" fontId="9" fillId="0" borderId="0" xfId="259" applyNumberFormat="1" applyFont="1" applyAlignment="1" applyProtection="1"/>
    <xf numFmtId="0" fontId="9" fillId="0" borderId="0" xfId="0" applyNumberFormat="1" applyFont="1" applyAlignment="1" applyProtection="1">
      <alignment horizontal="center"/>
    </xf>
    <xf numFmtId="0" fontId="9" fillId="0" borderId="0" xfId="0" applyFont="1" applyAlignment="1" applyProtection="1"/>
    <xf numFmtId="0" fontId="9" fillId="0" borderId="0" xfId="259" applyNumberFormat="1" applyFont="1" applyProtection="1"/>
    <xf numFmtId="0" fontId="9" fillId="0" borderId="0" xfId="259" applyNumberFormat="1" applyFont="1" applyAlignment="1" applyProtection="1">
      <alignment horizontal="right"/>
    </xf>
    <xf numFmtId="0" fontId="23" fillId="0" borderId="0" xfId="86" applyNumberFormat="1" applyFont="1" applyFill="1" applyAlignment="1" applyProtection="1"/>
    <xf numFmtId="3" fontId="9" fillId="0" borderId="0" xfId="259" applyNumberFormat="1" applyFont="1" applyAlignment="1" applyProtection="1"/>
    <xf numFmtId="3" fontId="9" fillId="0" borderId="0" xfId="0" applyNumberFormat="1" applyFont="1" applyAlignment="1" applyProtection="1">
      <alignment horizontal="center"/>
    </xf>
    <xf numFmtId="0" fontId="7" fillId="0" borderId="0" xfId="259" applyNumberFormat="1" applyFont="1" applyAlignment="1" applyProtection="1">
      <alignment horizontal="center"/>
    </xf>
    <xf numFmtId="0" fontId="9" fillId="0" borderId="0" xfId="259" applyNumberFormat="1" applyFont="1" applyAlignment="1" applyProtection="1">
      <alignment horizontal="center"/>
    </xf>
    <xf numFmtId="49" fontId="9" fillId="0" borderId="0" xfId="259" applyNumberFormat="1" applyFont="1" applyAlignment="1" applyProtection="1">
      <alignment horizontal="center"/>
    </xf>
    <xf numFmtId="0" fontId="0" fillId="0" borderId="0" xfId="0" applyProtection="1"/>
    <xf numFmtId="3" fontId="25" fillId="0" borderId="0" xfId="0" applyNumberFormat="1" applyFont="1" applyAlignment="1" applyProtection="1">
      <alignment horizontal="center"/>
    </xf>
    <xf numFmtId="49" fontId="9" fillId="0" borderId="0" xfId="259" applyNumberFormat="1" applyFont="1" applyProtection="1"/>
    <xf numFmtId="39" fontId="9" fillId="0" borderId="0" xfId="86" applyNumberFormat="1" applyFont="1" applyAlignment="1" applyProtection="1">
      <alignment horizontal="center"/>
    </xf>
    <xf numFmtId="0" fontId="7" fillId="0" borderId="6" xfId="259" applyNumberFormat="1" applyFont="1" applyBorder="1" applyAlignment="1" applyProtection="1">
      <alignment horizontal="center"/>
    </xf>
    <xf numFmtId="0" fontId="9" fillId="0" borderId="0" xfId="259" applyNumberFormat="1" applyFont="1" applyBorder="1" applyAlignment="1" applyProtection="1">
      <alignment horizontal="center"/>
    </xf>
    <xf numFmtId="0" fontId="9" fillId="0" borderId="6" xfId="259" applyNumberFormat="1" applyFont="1" applyBorder="1" applyAlignment="1" applyProtection="1">
      <alignment horizontal="center"/>
    </xf>
    <xf numFmtId="0" fontId="9" fillId="0" borderId="0" xfId="0" applyNumberFormat="1" applyFont="1" applyProtection="1"/>
    <xf numFmtId="0" fontId="9" fillId="0" borderId="0" xfId="259" applyNumberFormat="1" applyFont="1" applyFill="1" applyProtection="1"/>
    <xf numFmtId="3" fontId="9" fillId="0" borderId="0" xfId="259" applyNumberFormat="1" applyFont="1" applyProtection="1"/>
    <xf numFmtId="0" fontId="9" fillId="0" borderId="0" xfId="259" applyNumberFormat="1" applyFont="1" applyAlignment="1" applyProtection="1">
      <alignment horizontal="left"/>
    </xf>
    <xf numFmtId="170" fontId="9" fillId="0" borderId="0" xfId="259" applyNumberFormat="1" applyFont="1" applyProtection="1"/>
    <xf numFmtId="3" fontId="9" fillId="0" borderId="0" xfId="259" applyNumberFormat="1" applyFont="1" applyFill="1" applyAlignment="1" applyProtection="1">
      <alignment horizontal="left"/>
    </xf>
    <xf numFmtId="3" fontId="9" fillId="0" borderId="0" xfId="259" applyNumberFormat="1" applyFont="1" applyFill="1" applyAlignment="1" applyProtection="1"/>
    <xf numFmtId="0" fontId="9" fillId="0" borderId="6" xfId="259" applyNumberFormat="1" applyFont="1" applyBorder="1" applyAlignment="1" applyProtection="1">
      <alignment horizontal="centerContinuous"/>
    </xf>
    <xf numFmtId="0" fontId="9" fillId="0" borderId="0" xfId="0" applyNumberFormat="1" applyFont="1" applyAlignment="1" applyProtection="1"/>
    <xf numFmtId="41" fontId="9" fillId="0" borderId="0" xfId="259" applyNumberFormat="1" applyFont="1" applyFill="1" applyBorder="1" applyAlignment="1" applyProtection="1"/>
    <xf numFmtId="3" fontId="9" fillId="0" borderId="0" xfId="259" applyNumberFormat="1" applyFont="1" applyFill="1" applyAlignment="1" applyProtection="1">
      <alignment horizontal="center"/>
    </xf>
    <xf numFmtId="165" fontId="9" fillId="0" borderId="0" xfId="259" applyNumberFormat="1" applyFont="1" applyFill="1" applyAlignment="1" applyProtection="1">
      <alignment horizontal="right"/>
    </xf>
    <xf numFmtId="42" fontId="9" fillId="0" borderId="0" xfId="259" applyNumberFormat="1" applyFont="1" applyBorder="1" applyAlignment="1" applyProtection="1"/>
    <xf numFmtId="172" fontId="9" fillId="0" borderId="11" xfId="259" applyFont="1" applyBorder="1" applyAlignment="1" applyProtection="1"/>
    <xf numFmtId="172" fontId="9" fillId="0" borderId="0" xfId="259" applyFont="1" applyBorder="1" applyAlignment="1" applyProtection="1"/>
    <xf numFmtId="0" fontId="7" fillId="0" borderId="0" xfId="259" applyNumberFormat="1" applyFont="1" applyFill="1" applyAlignment="1" applyProtection="1">
      <alignment horizontal="center"/>
    </xf>
    <xf numFmtId="0" fontId="9" fillId="0" borderId="0" xfId="259" applyNumberFormat="1" applyFont="1" applyFill="1" applyAlignment="1" applyProtection="1">
      <alignment horizontal="center"/>
    </xf>
    <xf numFmtId="0" fontId="9" fillId="0" borderId="0" xfId="0" applyNumberFormat="1" applyFont="1" applyAlignment="1" applyProtection="1">
      <alignment wrapText="1"/>
    </xf>
    <xf numFmtId="3" fontId="9" fillId="0" borderId="0" xfId="259" applyNumberFormat="1" applyFont="1" applyAlignment="1" applyProtection="1">
      <alignment horizontal="left"/>
    </xf>
    <xf numFmtId="3" fontId="9" fillId="0" borderId="0" xfId="259" applyNumberFormat="1" applyFont="1" applyAlignment="1" applyProtection="1">
      <alignment horizontal="center"/>
    </xf>
    <xf numFmtId="174" fontId="9" fillId="0" borderId="14" xfId="259" applyNumberFormat="1" applyFont="1" applyBorder="1" applyAlignment="1" applyProtection="1"/>
    <xf numFmtId="42" fontId="9" fillId="0" borderId="0" xfId="259" applyNumberFormat="1" applyFont="1" applyAlignment="1" applyProtection="1"/>
    <xf numFmtId="172" fontId="80" fillId="0" borderId="0" xfId="259" applyFont="1" applyAlignment="1" applyProtection="1">
      <alignment horizontal="center" wrapText="1"/>
    </xf>
    <xf numFmtId="0" fontId="9" fillId="0" borderId="0" xfId="0" applyNumberFormat="1" applyFont="1" applyFill="1" applyAlignment="1" applyProtection="1"/>
    <xf numFmtId="41" fontId="9" fillId="0" borderId="0" xfId="259" applyNumberFormat="1" applyFont="1" applyFill="1" applyAlignment="1" applyProtection="1"/>
    <xf numFmtId="42" fontId="9" fillId="0" borderId="0" xfId="259" applyNumberFormat="1" applyFont="1" applyFill="1" applyAlignment="1" applyProtection="1"/>
    <xf numFmtId="43" fontId="9" fillId="0" borderId="0" xfId="86" applyFont="1" applyProtection="1"/>
    <xf numFmtId="0" fontId="9" fillId="0" borderId="0" xfId="259" applyNumberFormat="1" applyFont="1" applyFill="1" applyAlignment="1" applyProtection="1"/>
    <xf numFmtId="171" fontId="9" fillId="0" borderId="0" xfId="259" applyNumberFormat="1" applyFont="1" applyProtection="1"/>
    <xf numFmtId="10" fontId="9" fillId="0" borderId="0" xfId="259" applyNumberFormat="1" applyFont="1" applyAlignment="1" applyProtection="1"/>
    <xf numFmtId="10" fontId="9" fillId="0" borderId="0" xfId="259" applyNumberFormat="1" applyFont="1" applyProtection="1"/>
    <xf numFmtId="0" fontId="36" fillId="0" borderId="0" xfId="0" applyFont="1" applyProtection="1"/>
    <xf numFmtId="10" fontId="9" fillId="0" borderId="0" xfId="268" applyNumberFormat="1" applyFont="1" applyAlignment="1" applyProtection="1"/>
    <xf numFmtId="185" fontId="9" fillId="0" borderId="0" xfId="259" applyNumberFormat="1" applyFont="1" applyProtection="1"/>
    <xf numFmtId="0" fontId="9" fillId="0" borderId="0" xfId="0" applyNumberFormat="1" applyFont="1" applyFill="1" applyProtection="1"/>
    <xf numFmtId="43" fontId="9" fillId="0" borderId="0" xfId="86" applyFont="1" applyAlignment="1" applyProtection="1"/>
    <xf numFmtId="41" fontId="9" fillId="0" borderId="0" xfId="259" applyNumberFormat="1" applyFont="1" applyAlignment="1" applyProtection="1">
      <alignment horizontal="center"/>
    </xf>
    <xf numFmtId="41" fontId="9" fillId="0" borderId="14" xfId="259" applyNumberFormat="1" applyFont="1" applyBorder="1" applyAlignment="1" applyProtection="1">
      <alignment horizontal="center"/>
    </xf>
    <xf numFmtId="41" fontId="9" fillId="0" borderId="0" xfId="259" applyNumberFormat="1" applyFont="1" applyFill="1" applyAlignment="1" applyProtection="1">
      <alignment horizontal="right"/>
    </xf>
    <xf numFmtId="42" fontId="9" fillId="0" borderId="0" xfId="268" applyNumberFormat="1" applyFont="1" applyAlignment="1" applyProtection="1"/>
    <xf numFmtId="43" fontId="9" fillId="0" borderId="0" xfId="259" applyNumberFormat="1" applyFont="1" applyFill="1" applyAlignment="1" applyProtection="1">
      <alignment horizontal="right"/>
    </xf>
    <xf numFmtId="172" fontId="9" fillId="0" borderId="0" xfId="259" applyFont="1" applyFill="1" applyAlignment="1" applyProtection="1">
      <alignment horizontal="right"/>
    </xf>
    <xf numFmtId="0" fontId="36" fillId="0" borderId="0" xfId="0" applyFont="1" applyAlignment="1" applyProtection="1">
      <alignment horizontal="center"/>
    </xf>
    <xf numFmtId="49" fontId="9" fillId="0" borderId="0" xfId="259" applyNumberFormat="1" applyFont="1" applyAlignment="1" applyProtection="1">
      <alignment horizontal="left"/>
    </xf>
    <xf numFmtId="0" fontId="7" fillId="0" borderId="0" xfId="259" applyNumberFormat="1" applyFont="1" applyAlignment="1" applyProtection="1">
      <alignment horizontal="center" vertical="center"/>
    </xf>
    <xf numFmtId="3" fontId="10" fillId="0" borderId="0" xfId="259" applyNumberFormat="1" applyFont="1" applyAlignment="1" applyProtection="1">
      <alignment horizontal="center"/>
    </xf>
    <xf numFmtId="172" fontId="10" fillId="0" borderId="0" xfId="259" applyFont="1" applyAlignment="1" applyProtection="1">
      <alignment horizontal="center"/>
    </xf>
    <xf numFmtId="49" fontId="10" fillId="0" borderId="0" xfId="259" applyNumberFormat="1" applyFont="1" applyAlignment="1" applyProtection="1">
      <alignment horizontal="center"/>
    </xf>
    <xf numFmtId="0" fontId="14" fillId="0" borderId="0" xfId="259" applyNumberFormat="1" applyFont="1" applyAlignment="1" applyProtection="1">
      <alignment horizontal="center"/>
    </xf>
    <xf numFmtId="172" fontId="14" fillId="0" borderId="0" xfId="259" applyFont="1" applyBorder="1" applyAlignment="1" applyProtection="1">
      <alignment horizontal="center"/>
    </xf>
    <xf numFmtId="3" fontId="10" fillId="0" borderId="0" xfId="259" applyNumberFormat="1" applyFont="1" applyAlignment="1" applyProtection="1"/>
    <xf numFmtId="3" fontId="9" fillId="0" borderId="0" xfId="259" applyNumberFormat="1" applyFont="1" applyFill="1" applyBorder="1" applyAlignment="1" applyProtection="1">
      <alignment horizontal="center"/>
    </xf>
    <xf numFmtId="0" fontId="9" fillId="0" borderId="0" xfId="259" applyNumberFormat="1" applyFont="1" applyBorder="1" applyAlignment="1" applyProtection="1"/>
    <xf numFmtId="173" fontId="9" fillId="0" borderId="0" xfId="86" applyNumberFormat="1" applyFont="1" applyFill="1" applyAlignment="1" applyProtection="1"/>
    <xf numFmtId="0" fontId="9" fillId="0" borderId="0" xfId="259" applyNumberFormat="1" applyFont="1" applyBorder="1" applyAlignment="1" applyProtection="1">
      <alignment vertical="center"/>
    </xf>
    <xf numFmtId="3" fontId="9" fillId="0" borderId="0" xfId="259" applyNumberFormat="1" applyFont="1" applyFill="1" applyAlignment="1" applyProtection="1">
      <alignment vertical="center" wrapText="1"/>
    </xf>
    <xf numFmtId="3" fontId="9" fillId="0" borderId="0" xfId="259" applyNumberFormat="1" applyFont="1" applyFill="1" applyAlignment="1" applyProtection="1">
      <alignment horizontal="center" vertical="center"/>
    </xf>
    <xf numFmtId="3" fontId="9" fillId="0" borderId="0" xfId="259" applyNumberFormat="1" applyFont="1" applyFill="1" applyAlignment="1" applyProtection="1">
      <alignment vertical="center"/>
    </xf>
    <xf numFmtId="41" fontId="9" fillId="0" borderId="0" xfId="259" applyNumberFormat="1" applyFont="1" applyFill="1" applyAlignment="1" applyProtection="1">
      <alignment vertical="center"/>
    </xf>
    <xf numFmtId="0" fontId="9" fillId="0" borderId="0" xfId="259" applyNumberFormat="1" applyFont="1" applyFill="1" applyBorder="1" applyAlignment="1" applyProtection="1"/>
    <xf numFmtId="41" fontId="9" fillId="0" borderId="6" xfId="259" applyNumberFormat="1" applyFont="1" applyFill="1" applyBorder="1" applyAlignment="1" applyProtection="1"/>
    <xf numFmtId="0" fontId="36" fillId="0" borderId="0" xfId="0" applyFont="1" applyAlignment="1" applyProtection="1"/>
    <xf numFmtId="178" fontId="10" fillId="0" borderId="0" xfId="259" applyNumberFormat="1" applyFont="1" applyFill="1" applyAlignment="1" applyProtection="1">
      <alignment horizontal="right"/>
    </xf>
    <xf numFmtId="181" fontId="10" fillId="0" borderId="0" xfId="86" applyNumberFormat="1" applyFont="1" applyFill="1" applyAlignment="1" applyProtection="1"/>
    <xf numFmtId="178" fontId="9" fillId="0" borderId="0" xfId="259" applyNumberFormat="1" applyFont="1" applyFill="1" applyAlignment="1" applyProtection="1"/>
    <xf numFmtId="183" fontId="9" fillId="0" borderId="0" xfId="259" applyNumberFormat="1" applyFont="1" applyFill="1" applyAlignment="1" applyProtection="1"/>
    <xf numFmtId="182" fontId="9" fillId="0" borderId="0" xfId="259" applyNumberFormat="1" applyFont="1" applyFill="1" applyAlignment="1" applyProtection="1"/>
    <xf numFmtId="165" fontId="9" fillId="0" borderId="0" xfId="259" applyNumberFormat="1" applyFont="1" applyFill="1" applyAlignment="1" applyProtection="1"/>
    <xf numFmtId="0" fontId="9" fillId="0" borderId="0" xfId="259" applyNumberFormat="1" applyFont="1" applyFill="1" applyAlignment="1" applyProtection="1">
      <alignment horizontal="center" vertical="center"/>
    </xf>
    <xf numFmtId="164" fontId="9" fillId="0" borderId="0" xfId="259" applyNumberFormat="1" applyFont="1" applyFill="1" applyAlignment="1" applyProtection="1">
      <alignment horizontal="center"/>
    </xf>
    <xf numFmtId="177" fontId="9" fillId="0" borderId="0" xfId="86" applyNumberFormat="1" applyFont="1" applyFill="1" applyAlignment="1" applyProtection="1">
      <alignment horizontal="center"/>
    </xf>
    <xf numFmtId="41" fontId="9" fillId="0" borderId="0" xfId="259" applyNumberFormat="1" applyFont="1" applyAlignment="1" applyProtection="1"/>
    <xf numFmtId="165" fontId="9" fillId="0" borderId="0" xfId="259" applyNumberFormat="1" applyFont="1" applyAlignment="1" applyProtection="1"/>
    <xf numFmtId="3" fontId="10" fillId="0" borderId="0" xfId="259" applyNumberFormat="1" applyFont="1" applyFill="1" applyAlignment="1" applyProtection="1">
      <alignment horizontal="right"/>
    </xf>
    <xf numFmtId="181" fontId="9" fillId="0" borderId="0" xfId="86" applyNumberFormat="1" applyFont="1" applyFill="1" applyAlignment="1" applyProtection="1"/>
    <xf numFmtId="0" fontId="0" fillId="0" borderId="0" xfId="0" applyFill="1" applyProtection="1"/>
    <xf numFmtId="164" fontId="9" fillId="0" borderId="0" xfId="259" applyNumberFormat="1" applyFont="1" applyFill="1" applyAlignment="1" applyProtection="1">
      <alignment horizontal="left"/>
    </xf>
    <xf numFmtId="0" fontId="36" fillId="0" borderId="0" xfId="0" applyFont="1" applyFill="1" applyProtection="1"/>
    <xf numFmtId="10" fontId="9" fillId="0" borderId="0" xfId="268" applyNumberFormat="1" applyFont="1" applyFill="1" applyAlignment="1" applyProtection="1"/>
    <xf numFmtId="175" fontId="9" fillId="0" borderId="0" xfId="259" applyNumberFormat="1" applyFont="1" applyFill="1" applyAlignment="1" applyProtection="1"/>
    <xf numFmtId="41" fontId="9" fillId="0" borderId="0" xfId="259" applyNumberFormat="1" applyFont="1" applyAlignment="1" applyProtection="1">
      <alignment horizontal="center" vertical="center"/>
    </xf>
    <xf numFmtId="41" fontId="9" fillId="0" borderId="6" xfId="259" applyNumberFormat="1" applyFont="1" applyBorder="1" applyAlignment="1" applyProtection="1"/>
    <xf numFmtId="164" fontId="9" fillId="0" borderId="0" xfId="259" applyNumberFormat="1" applyFont="1" applyAlignment="1" applyProtection="1">
      <alignment horizontal="center"/>
    </xf>
    <xf numFmtId="0" fontId="92" fillId="0" borderId="0" xfId="259" applyNumberFormat="1" applyFont="1" applyAlignment="1" applyProtection="1">
      <alignment horizontal="center"/>
    </xf>
    <xf numFmtId="3" fontId="9" fillId="0" borderId="0" xfId="259" applyNumberFormat="1" applyFont="1" applyFill="1" applyAlignment="1" applyProtection="1">
      <alignment horizontal="right"/>
    </xf>
    <xf numFmtId="172" fontId="9" fillId="0" borderId="0" xfId="259" applyFont="1" applyAlignment="1" applyProtection="1">
      <alignment horizontal="center"/>
    </xf>
    <xf numFmtId="172" fontId="9" fillId="0" borderId="0" xfId="259" applyFont="1" applyFill="1" applyAlignment="1" applyProtection="1">
      <alignment horizontal="center"/>
    </xf>
    <xf numFmtId="0" fontId="0" fillId="0" borderId="0" xfId="0" applyAlignment="1" applyProtection="1">
      <alignment horizontal="center"/>
    </xf>
    <xf numFmtId="49" fontId="9" fillId="0" borderId="0" xfId="259" applyNumberFormat="1" applyFont="1" applyFill="1" applyAlignment="1" applyProtection="1">
      <alignment horizontal="center"/>
    </xf>
    <xf numFmtId="0" fontId="10" fillId="0" borderId="0" xfId="259" applyNumberFormat="1" applyFont="1" applyFill="1" applyAlignment="1" applyProtection="1">
      <alignment horizontal="center"/>
    </xf>
    <xf numFmtId="172" fontId="10" fillId="0" borderId="0" xfId="259" applyFont="1" applyAlignment="1" applyProtection="1"/>
    <xf numFmtId="0" fontId="10" fillId="0" borderId="0" xfId="259" applyNumberFormat="1" applyFont="1" applyAlignment="1" applyProtection="1">
      <alignment horizontal="center"/>
    </xf>
    <xf numFmtId="3" fontId="14" fillId="0" borderId="0" xfId="259" applyNumberFormat="1" applyFont="1" applyAlignment="1" applyProtection="1">
      <alignment horizontal="center"/>
    </xf>
    <xf numFmtId="3" fontId="10" fillId="0" borderId="0" xfId="259" applyNumberFormat="1" applyFont="1" applyFill="1" applyAlignment="1" applyProtection="1"/>
    <xf numFmtId="3" fontId="14" fillId="0" borderId="0" xfId="259" applyNumberFormat="1" applyFont="1" applyFill="1" applyAlignment="1" applyProtection="1"/>
    <xf numFmtId="3" fontId="14" fillId="0" borderId="0" xfId="259" applyNumberFormat="1" applyFont="1" applyAlignment="1" applyProtection="1"/>
    <xf numFmtId="0" fontId="36" fillId="0" borderId="0" xfId="0" applyFont="1" applyBorder="1" applyProtection="1"/>
    <xf numFmtId="43" fontId="16" fillId="0" borderId="0" xfId="86" applyNumberFormat="1" applyFont="1" applyAlignment="1" applyProtection="1"/>
    <xf numFmtId="3" fontId="101" fillId="0" borderId="0" xfId="259" applyNumberFormat="1" applyFont="1" applyFill="1" applyAlignment="1" applyProtection="1">
      <alignment horizontal="right"/>
    </xf>
    <xf numFmtId="41" fontId="9" fillId="0" borderId="0" xfId="259" applyNumberFormat="1" applyFont="1" applyBorder="1" applyAlignment="1" applyProtection="1"/>
    <xf numFmtId="3" fontId="9" fillId="0" borderId="0" xfId="259" applyNumberFormat="1" applyFont="1" applyAlignment="1" applyProtection="1">
      <alignment vertical="center" wrapText="1"/>
    </xf>
    <xf numFmtId="41" fontId="101" fillId="0" borderId="0" xfId="259" applyNumberFormat="1" applyFont="1" applyFill="1" applyAlignment="1" applyProtection="1">
      <alignment horizontal="right"/>
    </xf>
    <xf numFmtId="3" fontId="9" fillId="0" borderId="0" xfId="259" applyNumberFormat="1" applyFont="1" applyAlignment="1" applyProtection="1">
      <alignment horizontal="center" vertical="center"/>
    </xf>
    <xf numFmtId="3" fontId="9" fillId="0" borderId="0" xfId="259" applyNumberFormat="1" applyFont="1" applyAlignment="1" applyProtection="1">
      <alignment vertical="center"/>
    </xf>
    <xf numFmtId="41" fontId="9" fillId="0" borderId="0" xfId="259" applyNumberFormat="1" applyFont="1" applyAlignment="1" applyProtection="1">
      <alignment vertical="center"/>
    </xf>
    <xf numFmtId="43" fontId="9" fillId="0" borderId="0" xfId="268" applyNumberFormat="1" applyFont="1" applyFill="1" applyAlignment="1" applyProtection="1"/>
    <xf numFmtId="166" fontId="9" fillId="0" borderId="0" xfId="259" applyNumberFormat="1" applyFont="1" applyAlignment="1" applyProtection="1"/>
    <xf numFmtId="167" fontId="9" fillId="0" borderId="0" xfId="259" applyNumberFormat="1" applyFont="1" applyAlignment="1" applyProtection="1"/>
    <xf numFmtId="172" fontId="27" fillId="0" borderId="0" xfId="259" applyFont="1" applyAlignment="1" applyProtection="1"/>
    <xf numFmtId="164" fontId="9" fillId="0" borderId="0" xfId="259" applyNumberFormat="1" applyFont="1" applyBorder="1" applyAlignment="1" applyProtection="1">
      <alignment horizontal="left"/>
    </xf>
    <xf numFmtId="168" fontId="9" fillId="0" borderId="0" xfId="259" applyNumberFormat="1" applyFont="1" applyAlignment="1" applyProtection="1"/>
    <xf numFmtId="10" fontId="9" fillId="0" borderId="0" xfId="259" applyNumberFormat="1" applyFont="1" applyFill="1" applyAlignment="1" applyProtection="1">
      <alignment horizontal="right"/>
    </xf>
    <xf numFmtId="10" fontId="36" fillId="0" borderId="0" xfId="268" applyNumberFormat="1" applyFont="1" applyProtection="1"/>
    <xf numFmtId="3" fontId="27" fillId="0" borderId="0" xfId="259" applyNumberFormat="1" applyFont="1" applyAlignment="1" applyProtection="1"/>
    <xf numFmtId="167" fontId="9" fillId="0" borderId="0" xfId="259" applyNumberFormat="1" applyFont="1" applyFill="1" applyAlignment="1" applyProtection="1"/>
    <xf numFmtId="166" fontId="9" fillId="0" borderId="0" xfId="259" applyNumberFormat="1" applyFont="1" applyAlignment="1" applyProtection="1">
      <alignment horizontal="center"/>
    </xf>
    <xf numFmtId="186" fontId="27" fillId="0" borderId="0" xfId="259" applyNumberFormat="1" applyFont="1" applyAlignment="1" applyProtection="1">
      <alignment horizontal="center"/>
    </xf>
    <xf numFmtId="187" fontId="9" fillId="0" borderId="0" xfId="259" applyNumberFormat="1" applyFont="1" applyAlignment="1" applyProtection="1"/>
    <xf numFmtId="164" fontId="9" fillId="0" borderId="0" xfId="259" applyNumberFormat="1" applyFont="1" applyFill="1" applyBorder="1" applyAlignment="1" applyProtection="1">
      <alignment horizontal="left"/>
    </xf>
    <xf numFmtId="179" fontId="9" fillId="0" borderId="0" xfId="259" applyNumberFormat="1" applyFont="1" applyFill="1" applyAlignment="1" applyProtection="1">
      <alignment horizontal="right"/>
    </xf>
    <xf numFmtId="185" fontId="9" fillId="0" borderId="0" xfId="86" applyNumberFormat="1" applyFont="1" applyAlignment="1" applyProtection="1">
      <alignment horizontal="center"/>
    </xf>
    <xf numFmtId="41" fontId="27" fillId="0" borderId="0" xfId="259" applyNumberFormat="1" applyFont="1" applyAlignment="1" applyProtection="1"/>
    <xf numFmtId="43" fontId="27" fillId="0" borderId="0" xfId="86" applyFont="1" applyAlignment="1" applyProtection="1"/>
    <xf numFmtId="179" fontId="9" fillId="0" borderId="0" xfId="259" applyNumberFormat="1" applyFont="1" applyAlignment="1" applyProtection="1">
      <alignment horizontal="center"/>
    </xf>
    <xf numFmtId="10" fontId="9" fillId="0" borderId="0" xfId="259" applyNumberFormat="1" applyFont="1" applyFill="1" applyAlignment="1" applyProtection="1">
      <alignment horizontal="left"/>
    </xf>
    <xf numFmtId="186" fontId="9" fillId="0" borderId="0" xfId="259" applyNumberFormat="1" applyFont="1" applyAlignment="1" applyProtection="1">
      <alignment horizontal="center"/>
    </xf>
    <xf numFmtId="168" fontId="9" fillId="0" borderId="0" xfId="259" applyNumberFormat="1" applyFont="1" applyFill="1" applyAlignment="1" applyProtection="1">
      <alignment horizontal="left"/>
    </xf>
    <xf numFmtId="41" fontId="9" fillId="0" borderId="0" xfId="259" applyNumberFormat="1" applyFont="1" applyAlignment="1" applyProtection="1">
      <alignment horizontal="right"/>
    </xf>
    <xf numFmtId="41" fontId="9" fillId="0" borderId="11" xfId="259" applyNumberFormat="1" applyFont="1" applyBorder="1" applyAlignment="1" applyProtection="1"/>
    <xf numFmtId="179" fontId="9" fillId="0" borderId="0" xfId="259" applyNumberFormat="1" applyFont="1" applyAlignment="1" applyProtection="1"/>
    <xf numFmtId="172" fontId="27" fillId="0" borderId="0" xfId="259" applyFont="1" applyFill="1" applyAlignment="1" applyProtection="1"/>
    <xf numFmtId="164" fontId="9" fillId="0" borderId="0" xfId="259" applyNumberFormat="1" applyFont="1" applyFill="1" applyBorder="1" applyAlignment="1" applyProtection="1">
      <alignment horizontal="left" vertical="center"/>
    </xf>
    <xf numFmtId="41" fontId="9" fillId="0" borderId="0" xfId="259" applyNumberFormat="1" applyFont="1" applyFill="1" applyAlignment="1" applyProtection="1">
      <alignment horizontal="center" vertical="center"/>
    </xf>
    <xf numFmtId="180" fontId="9" fillId="0" borderId="0" xfId="259" applyNumberFormat="1" applyFont="1" applyAlignment="1" applyProtection="1"/>
    <xf numFmtId="173" fontId="9" fillId="0" borderId="14" xfId="86" applyNumberFormat="1" applyFont="1" applyBorder="1" applyAlignment="1" applyProtection="1"/>
    <xf numFmtId="0" fontId="9" fillId="0" borderId="0" xfId="259" applyNumberFormat="1" applyFont="1" applyFill="1" applyBorder="1" applyAlignment="1" applyProtection="1">
      <alignment horizontal="left"/>
    </xf>
    <xf numFmtId="0" fontId="10" fillId="0" borderId="0" xfId="259" applyNumberFormat="1" applyFont="1" applyAlignment="1" applyProtection="1"/>
    <xf numFmtId="0" fontId="9" fillId="0" borderId="0" xfId="0" applyFont="1" applyFill="1" applyAlignment="1" applyProtection="1">
      <alignment horizontal="left"/>
    </xf>
    <xf numFmtId="0" fontId="9" fillId="0" borderId="0" xfId="259" applyNumberFormat="1" applyFont="1" applyFill="1" applyBorder="1" applyProtection="1"/>
    <xf numFmtId="3" fontId="9" fillId="0" borderId="0" xfId="259" applyNumberFormat="1" applyFont="1" applyFill="1" applyBorder="1" applyAlignment="1" applyProtection="1"/>
    <xf numFmtId="172" fontId="9" fillId="0" borderId="0" xfId="259" applyFont="1" applyFill="1" applyBorder="1" applyAlignment="1" applyProtection="1"/>
    <xf numFmtId="172" fontId="9" fillId="0" borderId="0" xfId="259" applyFont="1" applyFill="1" applyBorder="1" applyAlignment="1" applyProtection="1">
      <alignment horizontal="center"/>
    </xf>
    <xf numFmtId="173" fontId="9" fillId="0" borderId="6" xfId="86" applyNumberFormat="1" applyFont="1" applyBorder="1" applyAlignment="1" applyProtection="1"/>
    <xf numFmtId="3" fontId="9" fillId="0" borderId="0" xfId="259" applyNumberFormat="1" applyFont="1" applyFill="1" applyBorder="1" applyAlignment="1" applyProtection="1">
      <alignment horizontal="left"/>
    </xf>
    <xf numFmtId="0" fontId="9" fillId="0" borderId="0" xfId="259" applyNumberFormat="1" applyFont="1" applyFill="1" applyBorder="1" applyAlignment="1" applyProtection="1">
      <alignment horizontal="center"/>
    </xf>
    <xf numFmtId="49" fontId="9" fillId="0" borderId="0" xfId="259" applyNumberFormat="1" applyFont="1" applyFill="1" applyBorder="1" applyProtection="1"/>
    <xf numFmtId="49" fontId="9" fillId="0" borderId="0" xfId="259" applyNumberFormat="1" applyFont="1" applyFill="1" applyBorder="1" applyAlignment="1" applyProtection="1"/>
    <xf numFmtId="49" fontId="9" fillId="0" borderId="0" xfId="259" applyNumberFormat="1" applyFont="1" applyFill="1" applyBorder="1" applyAlignment="1" applyProtection="1">
      <alignment horizontal="center"/>
    </xf>
    <xf numFmtId="3" fontId="10" fillId="0" borderId="0" xfId="259" applyNumberFormat="1" applyFont="1" applyFill="1" applyBorder="1" applyAlignment="1" applyProtection="1"/>
    <xf numFmtId="165" fontId="10" fillId="0" borderId="0" xfId="259" applyNumberFormat="1" applyFont="1" applyFill="1" applyBorder="1" applyAlignment="1" applyProtection="1">
      <alignment horizontal="right"/>
    </xf>
    <xf numFmtId="0" fontId="10" fillId="0" borderId="0" xfId="259" applyNumberFormat="1" applyFont="1" applyFill="1" applyAlignment="1" applyProtection="1"/>
    <xf numFmtId="3" fontId="9" fillId="0" borderId="0" xfId="259" applyNumberFormat="1" applyFont="1" applyFill="1" applyProtection="1"/>
    <xf numFmtId="3" fontId="9" fillId="0" borderId="0" xfId="259" applyNumberFormat="1" applyFont="1" applyFill="1" applyAlignment="1" applyProtection="1">
      <alignment horizontal="center" wrapText="1"/>
    </xf>
    <xf numFmtId="4" fontId="9" fillId="0" borderId="0" xfId="259" applyNumberFormat="1" applyFont="1" applyAlignment="1" applyProtection="1"/>
    <xf numFmtId="173" fontId="9" fillId="0" borderId="6" xfId="86" applyNumberFormat="1" applyFont="1" applyFill="1" applyBorder="1" applyAlignment="1" applyProtection="1"/>
    <xf numFmtId="3" fontId="10" fillId="0" borderId="0" xfId="259" applyNumberFormat="1" applyFont="1" applyFill="1" applyAlignment="1" applyProtection="1">
      <alignment horizontal="center"/>
    </xf>
    <xf numFmtId="172" fontId="10" fillId="0" borderId="0" xfId="259" applyFont="1" applyAlignment="1" applyProtection="1">
      <alignment horizontal="right"/>
    </xf>
    <xf numFmtId="165" fontId="10" fillId="0" borderId="0" xfId="259" applyNumberFormat="1" applyFont="1" applyAlignment="1" applyProtection="1"/>
    <xf numFmtId="166" fontId="10" fillId="0" borderId="0" xfId="259" applyNumberFormat="1" applyFont="1" applyFill="1" applyProtection="1"/>
    <xf numFmtId="3" fontId="9" fillId="0" borderId="6" xfId="259" applyNumberFormat="1" applyFont="1" applyFill="1" applyBorder="1" applyAlignment="1" applyProtection="1">
      <alignment horizontal="center"/>
    </xf>
    <xf numFmtId="0" fontId="18" fillId="0" borderId="0" xfId="259" applyNumberFormat="1" applyFont="1" applyFill="1" applyBorder="1" applyAlignment="1" applyProtection="1">
      <alignment horizontal="left"/>
    </xf>
    <xf numFmtId="0" fontId="9" fillId="0" borderId="0" xfId="259" applyNumberFormat="1" applyFont="1" applyFill="1" applyAlignment="1" applyProtection="1">
      <alignment horizontal="left"/>
    </xf>
    <xf numFmtId="3" fontId="27" fillId="0" borderId="0" xfId="259" applyNumberFormat="1" applyFont="1" applyFill="1" applyAlignment="1" applyProtection="1"/>
    <xf numFmtId="181" fontId="9" fillId="0" borderId="0" xfId="86" applyNumberFormat="1" applyFont="1" applyFill="1" applyAlignment="1" applyProtection="1">
      <alignment horizontal="center"/>
    </xf>
    <xf numFmtId="0" fontId="9" fillId="0" borderId="6" xfId="259" applyNumberFormat="1" applyFont="1" applyFill="1" applyBorder="1" applyAlignment="1" applyProtection="1">
      <alignment horizontal="center"/>
    </xf>
    <xf numFmtId="181" fontId="9" fillId="0" borderId="6" xfId="86" applyNumberFormat="1" applyFont="1" applyFill="1" applyBorder="1" applyAlignment="1" applyProtection="1">
      <alignment horizontal="center"/>
    </xf>
    <xf numFmtId="10" fontId="9" fillId="0" borderId="0" xfId="259" applyNumberFormat="1" applyFont="1" applyFill="1" applyAlignment="1" applyProtection="1"/>
    <xf numFmtId="185" fontId="9" fillId="0" borderId="0" xfId="86" applyNumberFormat="1" applyFont="1" applyFill="1" applyAlignment="1" applyProtection="1"/>
    <xf numFmtId="169" fontId="9" fillId="0" borderId="15" xfId="259" applyNumberFormat="1" applyFont="1" applyFill="1" applyBorder="1" applyAlignment="1" applyProtection="1"/>
    <xf numFmtId="3" fontId="9" fillId="0" borderId="0" xfId="259" quotePrefix="1" applyNumberFormat="1" applyFont="1" applyAlignment="1" applyProtection="1"/>
    <xf numFmtId="169" fontId="9" fillId="0" borderId="0" xfId="259" applyNumberFormat="1" applyFont="1" applyFill="1" applyBorder="1" applyAlignment="1" applyProtection="1"/>
    <xf numFmtId="169" fontId="9" fillId="0" borderId="6" xfId="259" applyNumberFormat="1" applyFont="1" applyFill="1" applyBorder="1" applyAlignment="1" applyProtection="1"/>
    <xf numFmtId="181" fontId="26" fillId="0" borderId="0" xfId="86" applyNumberFormat="1" applyFont="1" applyFill="1" applyProtection="1"/>
    <xf numFmtId="169" fontId="10" fillId="0" borderId="0" xfId="259" applyNumberFormat="1" applyFont="1" applyFill="1" applyAlignment="1" applyProtection="1"/>
    <xf numFmtId="3" fontId="10" fillId="0" borderId="0" xfId="259" quotePrefix="1" applyNumberFormat="1" applyFont="1" applyAlignment="1" applyProtection="1"/>
    <xf numFmtId="172" fontId="9" fillId="0" borderId="0" xfId="259" applyFont="1" applyAlignment="1" applyProtection="1">
      <alignment horizontal="right"/>
    </xf>
    <xf numFmtId="172" fontId="9" fillId="0" borderId="0" xfId="259" applyNumberFormat="1" applyFont="1" applyAlignment="1" applyProtection="1"/>
    <xf numFmtId="172" fontId="14" fillId="0" borderId="0" xfId="259" applyFont="1" applyAlignment="1" applyProtection="1">
      <alignment horizontal="center"/>
    </xf>
    <xf numFmtId="172" fontId="7" fillId="0" borderId="0" xfId="259" applyFont="1" applyFill="1" applyAlignment="1" applyProtection="1">
      <alignment horizontal="center"/>
    </xf>
    <xf numFmtId="172" fontId="7" fillId="0" borderId="0" xfId="259" applyFont="1" applyFill="1" applyAlignment="1" applyProtection="1"/>
    <xf numFmtId="10" fontId="9" fillId="0" borderId="0" xfId="259" applyNumberFormat="1" applyFont="1" applyFill="1" applyProtection="1"/>
    <xf numFmtId="0" fontId="9" fillId="0" borderId="0" xfId="0" applyFont="1" applyFill="1" applyProtection="1"/>
    <xf numFmtId="0" fontId="9" fillId="0" borderId="0" xfId="0" applyFont="1" applyProtection="1"/>
    <xf numFmtId="0" fontId="16" fillId="0" borderId="0" xfId="0" applyFont="1" applyAlignment="1" applyProtection="1"/>
    <xf numFmtId="0" fontId="30" fillId="0" borderId="0" xfId="259" applyNumberFormat="1" applyFont="1" applyFill="1" applyAlignment="1" applyProtection="1"/>
    <xf numFmtId="0" fontId="122" fillId="0" borderId="0" xfId="259" applyNumberFormat="1" applyFont="1" applyFill="1" applyAlignment="1" applyProtection="1"/>
    <xf numFmtId="0" fontId="30" fillId="0" borderId="0" xfId="259" applyNumberFormat="1" applyFont="1" applyFill="1" applyProtection="1"/>
    <xf numFmtId="172" fontId="30" fillId="0" borderId="0" xfId="259" applyFont="1" applyFill="1" applyAlignment="1" applyProtection="1"/>
    <xf numFmtId="0" fontId="30" fillId="0" borderId="0" xfId="0" applyFont="1" applyAlignment="1" applyProtection="1">
      <alignment vertical="top" wrapText="1"/>
    </xf>
    <xf numFmtId="172" fontId="30" fillId="0" borderId="0" xfId="259" applyFont="1" applyFill="1" applyAlignment="1" applyProtection="1">
      <alignment wrapText="1"/>
    </xf>
    <xf numFmtId="172" fontId="122" fillId="0" borderId="0" xfId="259" applyFont="1" applyFill="1" applyAlignment="1" applyProtection="1"/>
    <xf numFmtId="0" fontId="7" fillId="0" borderId="0" xfId="259" applyNumberFormat="1" applyFont="1" applyFill="1" applyProtection="1"/>
    <xf numFmtId="0" fontId="91" fillId="0" borderId="0" xfId="259" applyNumberFormat="1" applyFont="1" applyFill="1" applyAlignment="1" applyProtection="1">
      <alignment horizontal="center"/>
    </xf>
    <xf numFmtId="0" fontId="0" fillId="0" borderId="0" xfId="0" applyAlignment="1" applyProtection="1">
      <alignment wrapText="1"/>
    </xf>
    <xf numFmtId="0" fontId="9" fillId="0" borderId="0" xfId="0" applyFont="1" applyAlignment="1" applyProtection="1">
      <alignment horizontal="center"/>
    </xf>
    <xf numFmtId="0" fontId="9" fillId="0" borderId="0" xfId="211" applyFont="1" applyBorder="1" applyAlignment="1" applyProtection="1">
      <alignment horizontal="center"/>
    </xf>
    <xf numFmtId="49" fontId="9" fillId="0" borderId="0" xfId="249" applyNumberFormat="1" applyFont="1" applyAlignment="1" applyProtection="1">
      <alignment horizontal="center"/>
    </xf>
    <xf numFmtId="0" fontId="21" fillId="0" borderId="0" xfId="0" applyFont="1" applyFill="1" applyAlignment="1" applyProtection="1">
      <alignment horizontal="center"/>
    </xf>
    <xf numFmtId="0" fontId="13" fillId="0" borderId="0" xfId="0" applyFont="1" applyFill="1" applyAlignment="1" applyProtection="1">
      <alignment horizontal="center"/>
    </xf>
    <xf numFmtId="0" fontId="0" fillId="0" borderId="0" xfId="0" applyFill="1" applyAlignment="1" applyProtection="1">
      <alignment horizontal="center"/>
    </xf>
    <xf numFmtId="0" fontId="6" fillId="0" borderId="0" xfId="0" applyFont="1" applyFill="1" applyProtection="1"/>
    <xf numFmtId="0" fontId="6" fillId="0" borderId="0" xfId="0" applyFont="1" applyProtection="1"/>
    <xf numFmtId="173" fontId="0" fillId="0" borderId="0" xfId="0" applyNumberFormat="1" applyProtection="1"/>
    <xf numFmtId="174" fontId="0" fillId="0" borderId="0" xfId="86" applyNumberFormat="1" applyFont="1" applyFill="1" applyProtection="1"/>
    <xf numFmtId="173" fontId="0" fillId="0" borderId="13" xfId="0" applyNumberFormat="1" applyBorder="1" applyProtection="1"/>
    <xf numFmtId="43" fontId="0" fillId="0" borderId="0" xfId="0" applyNumberFormat="1" applyProtection="1"/>
    <xf numFmtId="0" fontId="16" fillId="0" borderId="0" xfId="0" applyFont="1" applyProtection="1"/>
    <xf numFmtId="0" fontId="7" fillId="0" borderId="0" xfId="0" applyFont="1" applyProtection="1"/>
    <xf numFmtId="0" fontId="7" fillId="0" borderId="0" xfId="0" applyFont="1" applyAlignment="1" applyProtection="1"/>
    <xf numFmtId="3" fontId="8" fillId="0" borderId="0" xfId="0" applyNumberFormat="1" applyFont="1" applyAlignment="1" applyProtection="1">
      <alignment horizontal="center"/>
    </xf>
    <xf numFmtId="0" fontId="7" fillId="0" borderId="0" xfId="263" applyFont="1" applyProtection="1"/>
    <xf numFmtId="0" fontId="7" fillId="0" borderId="0" xfId="263" applyFont="1" applyAlignment="1" applyProtection="1">
      <alignment horizontal="right"/>
    </xf>
    <xf numFmtId="0" fontId="14" fillId="0" borderId="0" xfId="263" applyFont="1" applyAlignment="1" applyProtection="1">
      <alignment horizontal="center"/>
    </xf>
    <xf numFmtId="0" fontId="30" fillId="0" borderId="0" xfId="0" applyFont="1" applyProtection="1"/>
    <xf numFmtId="0" fontId="9" fillId="0" borderId="0" xfId="263" applyFont="1" applyProtection="1"/>
    <xf numFmtId="0" fontId="85" fillId="0" borderId="0" xfId="263" applyFont="1" applyProtection="1"/>
    <xf numFmtId="0" fontId="30" fillId="0" borderId="0" xfId="0" applyFont="1" applyAlignment="1" applyProtection="1">
      <alignment horizontal="center"/>
    </xf>
    <xf numFmtId="0" fontId="14" fillId="0" borderId="0" xfId="263" applyFont="1" applyBorder="1" applyAlignment="1" applyProtection="1">
      <alignment horizontal="center"/>
    </xf>
    <xf numFmtId="0" fontId="7" fillId="0" borderId="0" xfId="0" applyFont="1" applyFill="1" applyProtection="1"/>
    <xf numFmtId="0" fontId="7" fillId="0" borderId="0" xfId="0" applyFont="1" applyAlignment="1" applyProtection="1">
      <alignment horizontal="right"/>
    </xf>
    <xf numFmtId="0" fontId="10" fillId="0" borderId="0" xfId="263" applyFont="1" applyFill="1" applyProtection="1"/>
    <xf numFmtId="0" fontId="30" fillId="0" borderId="0" xfId="263" applyFont="1" applyAlignment="1" applyProtection="1">
      <alignment horizontal="center"/>
    </xf>
    <xf numFmtId="0" fontId="13" fillId="0" borderId="0" xfId="263" applyFont="1" applyFill="1" applyAlignment="1" applyProtection="1">
      <alignment horizontal="center"/>
    </xf>
    <xf numFmtId="0" fontId="13" fillId="0" borderId="0" xfId="263" applyFont="1" applyFill="1" applyProtection="1"/>
    <xf numFmtId="0" fontId="16" fillId="0" borderId="0" xfId="263" applyFont="1" applyProtection="1"/>
    <xf numFmtId="173" fontId="16" fillId="0" borderId="0" xfId="263" applyNumberFormat="1" applyFont="1" applyFill="1" applyProtection="1"/>
    <xf numFmtId="0" fontId="111" fillId="0" borderId="0" xfId="0" applyFont="1" applyFill="1" applyProtection="1"/>
    <xf numFmtId="0" fontId="16" fillId="0" borderId="0" xfId="0" applyFont="1" applyAlignment="1" applyProtection="1">
      <alignment horizontal="center"/>
    </xf>
    <xf numFmtId="0" fontId="111" fillId="0" borderId="0" xfId="0" applyFont="1" applyProtection="1"/>
    <xf numFmtId="0" fontId="102" fillId="0" borderId="0" xfId="263" applyFont="1" applyFill="1" applyAlignment="1" applyProtection="1">
      <alignment horizontal="center"/>
    </xf>
    <xf numFmtId="0" fontId="102" fillId="0" borderId="0" xfId="263" applyFont="1" applyFill="1" applyProtection="1"/>
    <xf numFmtId="0" fontId="110" fillId="0" borderId="0" xfId="0" applyFont="1" applyProtection="1"/>
    <xf numFmtId="0" fontId="110" fillId="0" borderId="0" xfId="263" applyFont="1" applyProtection="1"/>
    <xf numFmtId="172" fontId="16" fillId="0" borderId="0" xfId="263" applyNumberFormat="1" applyFont="1" applyFill="1" applyAlignment="1" applyProtection="1">
      <alignment horizontal="center"/>
    </xf>
    <xf numFmtId="0" fontId="16" fillId="0" borderId="0" xfId="263" applyFont="1" applyFill="1" applyProtection="1"/>
    <xf numFmtId="0" fontId="13" fillId="0" borderId="0" xfId="263" applyFont="1" applyProtection="1"/>
    <xf numFmtId="0" fontId="102" fillId="0" borderId="0" xfId="263" applyFont="1" applyProtection="1"/>
    <xf numFmtId="43" fontId="16" fillId="0" borderId="0" xfId="115" applyFont="1" applyFill="1" applyProtection="1"/>
    <xf numFmtId="43" fontId="110" fillId="0" borderId="0" xfId="115" applyFont="1" applyFill="1" applyProtection="1"/>
    <xf numFmtId="184" fontId="16" fillId="0" borderId="0" xfId="0" applyNumberFormat="1" applyFont="1" applyProtection="1"/>
    <xf numFmtId="0" fontId="16" fillId="0" borderId="0" xfId="0" applyFont="1" applyFill="1" applyProtection="1"/>
    <xf numFmtId="173" fontId="16" fillId="0" borderId="13" xfId="0" applyNumberFormat="1" applyFont="1" applyBorder="1" applyProtection="1"/>
    <xf numFmtId="173" fontId="16" fillId="0" borderId="0" xfId="263" applyNumberFormat="1" applyFont="1" applyProtection="1"/>
    <xf numFmtId="173" fontId="16" fillId="0" borderId="0" xfId="263" applyNumberFormat="1" applyFont="1" applyBorder="1" applyProtection="1"/>
    <xf numFmtId="173" fontId="16" fillId="0" borderId="13" xfId="263" applyNumberFormat="1" applyFont="1" applyBorder="1" applyProtection="1"/>
    <xf numFmtId="0" fontId="9" fillId="0" borderId="0" xfId="263" applyFont="1" applyFill="1" applyProtection="1"/>
    <xf numFmtId="173" fontId="9" fillId="0" borderId="0" xfId="263" applyNumberFormat="1" applyFont="1" applyFill="1" applyBorder="1" applyProtection="1"/>
    <xf numFmtId="0" fontId="16" fillId="0" borderId="0" xfId="0" applyFont="1" applyAlignment="1" applyProtection="1">
      <alignment vertical="top" wrapText="1"/>
    </xf>
    <xf numFmtId="0" fontId="30" fillId="0" borderId="0" xfId="0" applyFont="1" applyFill="1" applyProtection="1"/>
    <xf numFmtId="0" fontId="10" fillId="0" borderId="0" xfId="0" applyFont="1" applyFill="1" applyBorder="1" applyAlignment="1" applyProtection="1">
      <alignment horizontal="center"/>
    </xf>
    <xf numFmtId="0" fontId="13" fillId="0" borderId="0" xfId="0" applyFont="1" applyFill="1" applyBorder="1" applyAlignment="1" applyProtection="1">
      <alignment horizontal="center"/>
    </xf>
    <xf numFmtId="173" fontId="10" fillId="0" borderId="0" xfId="0" applyNumberFormat="1" applyFont="1" applyFill="1" applyBorder="1" applyAlignment="1" applyProtection="1">
      <alignment horizontal="center"/>
    </xf>
    <xf numFmtId="0" fontId="16" fillId="0" borderId="0" xfId="0" applyFont="1" applyBorder="1" applyProtection="1"/>
    <xf numFmtId="173" fontId="6" fillId="0" borderId="0" xfId="86" applyNumberFormat="1" applyProtection="1"/>
    <xf numFmtId="0" fontId="15" fillId="0" borderId="0" xfId="0" applyFont="1" applyFill="1" applyProtection="1"/>
    <xf numFmtId="0" fontId="22" fillId="0" borderId="0" xfId="0" applyFont="1" applyFill="1" applyAlignment="1" applyProtection="1">
      <alignment horizontal="right"/>
    </xf>
    <xf numFmtId="0" fontId="22" fillId="0" borderId="0" xfId="0" applyFont="1" applyFill="1" applyAlignment="1" applyProtection="1">
      <alignment horizontal="left"/>
    </xf>
    <xf numFmtId="0" fontId="22" fillId="0" borderId="0" xfId="0" applyFont="1" applyFill="1" applyBorder="1" applyAlignment="1" applyProtection="1">
      <alignment horizontal="right"/>
    </xf>
    <xf numFmtId="0" fontId="8" fillId="0" borderId="0" xfId="0" applyFont="1" applyFill="1" applyProtection="1"/>
    <xf numFmtId="0" fontId="70" fillId="0" borderId="0" xfId="0" applyFont="1" applyFill="1" applyProtection="1"/>
    <xf numFmtId="0" fontId="10" fillId="0" borderId="0" xfId="0" applyFont="1" applyAlignment="1" applyProtection="1">
      <alignment horizontal="left"/>
    </xf>
    <xf numFmtId="0" fontId="16" fillId="0" borderId="0" xfId="259" applyNumberFormat="1" applyFont="1" applyFill="1" applyBorder="1" applyAlignment="1" applyProtection="1"/>
    <xf numFmtId="3" fontId="16" fillId="0" borderId="0" xfId="259" applyNumberFormat="1" applyFont="1" applyAlignment="1" applyProtection="1"/>
    <xf numFmtId="10" fontId="6" fillId="0" borderId="0" xfId="268" applyNumberFormat="1" applyAlignment="1" applyProtection="1">
      <alignment horizontal="right"/>
    </xf>
    <xf numFmtId="172" fontId="16" fillId="0" borderId="0" xfId="259" applyFont="1" applyAlignment="1" applyProtection="1"/>
    <xf numFmtId="172" fontId="16" fillId="0" borderId="0" xfId="259" applyFont="1" applyBorder="1" applyAlignment="1" applyProtection="1"/>
    <xf numFmtId="3" fontId="16" fillId="0" borderId="0" xfId="259" applyNumberFormat="1" applyFont="1" applyFill="1" applyAlignment="1" applyProtection="1"/>
    <xf numFmtId="10" fontId="16" fillId="0" borderId="0" xfId="268" applyNumberFormat="1" applyFont="1" applyFill="1" applyAlignment="1" applyProtection="1">
      <alignment horizontal="right"/>
    </xf>
    <xf numFmtId="3" fontId="13" fillId="0" borderId="0" xfId="259" applyNumberFormat="1" applyFont="1" applyAlignment="1" applyProtection="1"/>
    <xf numFmtId="10" fontId="16" fillId="0" borderId="0" xfId="259" applyNumberFormat="1" applyFont="1" applyFill="1" applyAlignment="1" applyProtection="1">
      <alignment horizontal="right"/>
    </xf>
    <xf numFmtId="3" fontId="17" fillId="0" borderId="0" xfId="259" applyNumberFormat="1" applyFont="1" applyAlignment="1" applyProtection="1">
      <alignment horizontal="center"/>
    </xf>
    <xf numFmtId="10" fontId="17" fillId="0" borderId="0" xfId="259" applyNumberFormat="1" applyFont="1" applyFill="1" applyAlignment="1" applyProtection="1">
      <alignment horizontal="center"/>
    </xf>
    <xf numFmtId="0" fontId="16" fillId="0" borderId="0" xfId="259" applyNumberFormat="1" applyFont="1" applyFill="1" applyBorder="1" applyAlignment="1" applyProtection="1">
      <alignment horizontal="right"/>
    </xf>
    <xf numFmtId="10" fontId="0" fillId="0" borderId="0" xfId="0" applyNumberFormat="1" applyFill="1" applyAlignment="1" applyProtection="1">
      <alignment horizontal="center"/>
    </xf>
    <xf numFmtId="10" fontId="0" fillId="0" borderId="0" xfId="0" applyNumberFormat="1" applyAlignment="1" applyProtection="1">
      <alignment horizontal="center"/>
    </xf>
    <xf numFmtId="164" fontId="16" fillId="0" borderId="0" xfId="268" applyNumberFormat="1" applyFont="1" applyAlignment="1" applyProtection="1"/>
    <xf numFmtId="166" fontId="16" fillId="0" borderId="0" xfId="259" applyNumberFormat="1" applyFont="1" applyAlignment="1" applyProtection="1">
      <alignment horizontal="center"/>
    </xf>
    <xf numFmtId="166" fontId="16" fillId="0" borderId="0" xfId="259" applyNumberFormat="1" applyFont="1" applyBorder="1" applyAlignment="1" applyProtection="1">
      <alignment horizontal="center"/>
    </xf>
    <xf numFmtId="41" fontId="16" fillId="0" borderId="0" xfId="259" applyNumberFormat="1" applyFont="1" applyAlignment="1" applyProtection="1"/>
    <xf numFmtId="41" fontId="16" fillId="0" borderId="0" xfId="259" applyNumberFormat="1" applyFont="1" applyAlignment="1" applyProtection="1">
      <alignment horizontal="center"/>
    </xf>
    <xf numFmtId="41" fontId="16" fillId="0" borderId="0" xfId="259" applyNumberFormat="1" applyFont="1" applyBorder="1" applyAlignment="1" applyProtection="1">
      <alignment horizontal="center"/>
    </xf>
    <xf numFmtId="0" fontId="16" fillId="0" borderId="0" xfId="259" applyNumberFormat="1" applyFont="1" applyBorder="1" applyAlignment="1" applyProtection="1">
      <alignment horizontal="right"/>
    </xf>
    <xf numFmtId="164" fontId="17" fillId="0" borderId="0" xfId="268" applyNumberFormat="1" applyFont="1" applyAlignment="1" applyProtection="1"/>
    <xf numFmtId="0" fontId="16" fillId="0" borderId="0" xfId="259" applyNumberFormat="1" applyFont="1" applyBorder="1" applyAlignment="1" applyProtection="1"/>
    <xf numFmtId="3" fontId="16" fillId="0" borderId="0" xfId="259" applyNumberFormat="1" applyFont="1" applyAlignment="1" applyProtection="1">
      <alignment horizontal="right"/>
    </xf>
    <xf numFmtId="172" fontId="6" fillId="0" borderId="17" xfId="259" applyFont="1" applyBorder="1" applyAlignment="1" applyProtection="1"/>
    <xf numFmtId="0" fontId="6" fillId="0" borderId="0" xfId="259" applyNumberFormat="1" applyFont="1" applyBorder="1" applyAlignment="1" applyProtection="1">
      <alignment horizontal="center"/>
    </xf>
    <xf numFmtId="172" fontId="6" fillId="0" borderId="0" xfId="259" applyFont="1" applyBorder="1" applyAlignment="1" applyProtection="1"/>
    <xf numFmtId="3" fontId="6" fillId="0" borderId="18" xfId="259" applyNumberFormat="1" applyFont="1" applyBorder="1" applyAlignment="1" applyProtection="1"/>
    <xf numFmtId="10" fontId="16" fillId="0" borderId="0" xfId="259" applyNumberFormat="1" applyFont="1" applyFill="1" applyAlignment="1" applyProtection="1">
      <alignment horizontal="left"/>
    </xf>
    <xf numFmtId="41" fontId="16" fillId="0" borderId="0" xfId="259" applyNumberFormat="1" applyFont="1" applyBorder="1" applyAlignment="1" applyProtection="1"/>
    <xf numFmtId="0" fontId="6" fillId="0" borderId="17" xfId="0" applyFont="1" applyBorder="1" applyProtection="1"/>
    <xf numFmtId="0" fontId="6" fillId="0" borderId="0" xfId="0" applyFont="1" applyBorder="1" applyProtection="1"/>
    <xf numFmtId="0" fontId="6" fillId="0" borderId="18" xfId="0" applyFont="1" applyBorder="1" applyProtection="1"/>
    <xf numFmtId="41" fontId="16" fillId="0" borderId="0" xfId="259" applyNumberFormat="1" applyFont="1" applyFill="1" applyAlignment="1" applyProtection="1"/>
    <xf numFmtId="166" fontId="6" fillId="0" borderId="19" xfId="259" applyNumberFormat="1" applyFont="1" applyBorder="1" applyAlignment="1" applyProtection="1">
      <alignment horizontal="center"/>
    </xf>
    <xf numFmtId="0" fontId="6" fillId="0" borderId="6" xfId="259" applyNumberFormat="1" applyFont="1" applyBorder="1" applyAlignment="1" applyProtection="1">
      <alignment horizontal="center"/>
    </xf>
    <xf numFmtId="174" fontId="6" fillId="0" borderId="20" xfId="0" applyNumberFormat="1" applyFont="1" applyBorder="1" applyProtection="1"/>
    <xf numFmtId="41" fontId="6" fillId="0" borderId="0" xfId="259" applyNumberFormat="1" applyFont="1" applyBorder="1" applyAlignment="1" applyProtection="1"/>
    <xf numFmtId="0" fontId="16" fillId="31" borderId="0" xfId="259" applyNumberFormat="1" applyFont="1" applyFill="1" applyBorder="1" applyAlignment="1" applyProtection="1"/>
    <xf numFmtId="41" fontId="16" fillId="0" borderId="0" xfId="259" applyNumberFormat="1" applyFont="1" applyFill="1" applyAlignment="1" applyProtection="1">
      <alignment horizontal="left"/>
    </xf>
    <xf numFmtId="41" fontId="6" fillId="0" borderId="0" xfId="259" applyNumberFormat="1" applyFont="1" applyFill="1" applyBorder="1" applyAlignment="1" applyProtection="1">
      <alignment horizontal="right"/>
    </xf>
    <xf numFmtId="167" fontId="16" fillId="0" borderId="0" xfId="259" applyNumberFormat="1" applyFont="1" applyAlignment="1" applyProtection="1"/>
    <xf numFmtId="164" fontId="16" fillId="0" borderId="0" xfId="259" applyNumberFormat="1" applyFont="1" applyFill="1" applyBorder="1" applyAlignment="1" applyProtection="1">
      <alignment horizontal="left"/>
    </xf>
    <xf numFmtId="164" fontId="16" fillId="0" borderId="0" xfId="259" applyNumberFormat="1" applyFont="1" applyBorder="1" applyAlignment="1" applyProtection="1">
      <alignment horizontal="left"/>
    </xf>
    <xf numFmtId="3" fontId="16" fillId="0" borderId="0" xfId="259" applyNumberFormat="1" applyFont="1" applyAlignment="1" applyProtection="1">
      <alignment vertical="center" wrapText="1"/>
    </xf>
    <xf numFmtId="41" fontId="16" fillId="0" borderId="0" xfId="259" applyNumberFormat="1" applyFont="1" applyBorder="1" applyAlignment="1" applyProtection="1">
      <alignment vertical="center"/>
    </xf>
    <xf numFmtId="41" fontId="16" fillId="0" borderId="0" xfId="259" applyNumberFormat="1" applyFont="1" applyBorder="1" applyAlignment="1" applyProtection="1">
      <alignment horizontal="center" vertical="center"/>
    </xf>
    <xf numFmtId="41" fontId="16" fillId="0" borderId="0" xfId="259" applyNumberFormat="1" applyFont="1" applyAlignment="1" applyProtection="1">
      <alignment horizontal="right"/>
    </xf>
    <xf numFmtId="10" fontId="16" fillId="0" borderId="0" xfId="0" applyNumberFormat="1" applyFont="1" applyProtection="1"/>
    <xf numFmtId="173" fontId="16" fillId="0" borderId="0" xfId="86" applyNumberFormat="1" applyFont="1" applyProtection="1"/>
    <xf numFmtId="41" fontId="16" fillId="0" borderId="0" xfId="0" applyNumberFormat="1" applyFont="1" applyProtection="1"/>
    <xf numFmtId="41" fontId="16" fillId="0" borderId="0" xfId="259" applyNumberFormat="1" applyFont="1" applyFill="1" applyBorder="1" applyAlignment="1" applyProtection="1"/>
    <xf numFmtId="41" fontId="16" fillId="0" borderId="11" xfId="259" applyNumberFormat="1" applyFont="1" applyFill="1" applyBorder="1" applyAlignment="1" applyProtection="1"/>
    <xf numFmtId="3" fontId="16" fillId="0" borderId="0" xfId="259" applyNumberFormat="1" applyFont="1" applyFill="1" applyBorder="1" applyAlignment="1" applyProtection="1"/>
    <xf numFmtId="41" fontId="16" fillId="0" borderId="0" xfId="259" applyNumberFormat="1" applyFont="1" applyFill="1" applyBorder="1" applyAlignment="1" applyProtection="1">
      <alignment horizontal="center"/>
    </xf>
    <xf numFmtId="0" fontId="16" fillId="0" borderId="0" xfId="259" applyNumberFormat="1" applyFont="1" applyFill="1" applyBorder="1" applyProtection="1"/>
    <xf numFmtId="41" fontId="17" fillId="0" borderId="0" xfId="259" applyNumberFormat="1" applyFont="1" applyFill="1" applyBorder="1" applyAlignment="1" applyProtection="1"/>
    <xf numFmtId="3" fontId="16" fillId="0" borderId="0" xfId="259" applyNumberFormat="1" applyFont="1" applyFill="1" applyBorder="1" applyAlignment="1" applyProtection="1">
      <alignment horizontal="center"/>
    </xf>
    <xf numFmtId="0" fontId="16" fillId="0" borderId="0" xfId="0" applyFont="1" applyFill="1" applyBorder="1" applyProtection="1"/>
    <xf numFmtId="0" fontId="16" fillId="0" borderId="0" xfId="259" applyNumberFormat="1" applyFont="1" applyFill="1" applyBorder="1" applyAlignment="1" applyProtection="1">
      <alignment horizontal="center"/>
    </xf>
    <xf numFmtId="10" fontId="16" fillId="0" borderId="0" xfId="259" applyNumberFormat="1" applyFont="1" applyFill="1" applyBorder="1" applyAlignment="1" applyProtection="1"/>
    <xf numFmtId="169" fontId="16" fillId="0" borderId="0" xfId="259" applyNumberFormat="1" applyFont="1" applyFill="1" applyBorder="1" applyAlignment="1" applyProtection="1"/>
    <xf numFmtId="172" fontId="16" fillId="0" borderId="0" xfId="259" applyFont="1" applyFill="1" applyBorder="1" applyAlignment="1" applyProtection="1"/>
    <xf numFmtId="169" fontId="13" fillId="0" borderId="0" xfId="259" applyNumberFormat="1" applyFont="1" applyFill="1" applyBorder="1" applyAlignment="1" applyProtection="1"/>
    <xf numFmtId="0" fontId="16" fillId="0" borderId="0" xfId="0" applyFont="1" applyFill="1" applyBorder="1" applyAlignment="1" applyProtection="1">
      <alignment horizontal="center"/>
    </xf>
    <xf numFmtId="41" fontId="16" fillId="0" borderId="0" xfId="0" applyNumberFormat="1" applyFont="1" applyFill="1" applyBorder="1" applyProtection="1"/>
    <xf numFmtId="173" fontId="16" fillId="0" borderId="0" xfId="86" applyNumberFormat="1" applyFont="1" applyFill="1" applyBorder="1" applyProtection="1"/>
    <xf numFmtId="41" fontId="17" fillId="0" borderId="0" xfId="0" applyNumberFormat="1" applyFont="1" applyProtection="1"/>
    <xf numFmtId="181" fontId="16" fillId="0" borderId="0" xfId="86" applyNumberFormat="1" applyFont="1" applyProtection="1"/>
    <xf numFmtId="10" fontId="17" fillId="0" borderId="0" xfId="0" applyNumberFormat="1" applyFont="1" applyProtection="1"/>
    <xf numFmtId="0" fontId="16" fillId="31" borderId="0" xfId="0" applyFont="1" applyFill="1" applyBorder="1" applyProtection="1"/>
    <xf numFmtId="173" fontId="16" fillId="0" borderId="0" xfId="86" applyNumberFormat="1" applyFont="1" applyFill="1" applyProtection="1"/>
    <xf numFmtId="173" fontId="16" fillId="0" borderId="0" xfId="86" applyNumberFormat="1" applyFont="1" applyBorder="1" applyProtection="1"/>
    <xf numFmtId="43" fontId="16" fillId="0" borderId="0" xfId="86" applyFont="1" applyProtection="1"/>
    <xf numFmtId="173" fontId="16" fillId="0" borderId="0" xfId="0" applyNumberFormat="1" applyFont="1" applyProtection="1"/>
    <xf numFmtId="0" fontId="72" fillId="0" borderId="0" xfId="0" applyFont="1" applyFill="1" applyProtection="1"/>
    <xf numFmtId="173" fontId="16" fillId="0" borderId="0" xfId="0" applyNumberFormat="1" applyFont="1" applyBorder="1" applyProtection="1"/>
    <xf numFmtId="174" fontId="16" fillId="0" borderId="0" xfId="0" applyNumberFormat="1" applyFont="1" applyBorder="1" applyProtection="1"/>
    <xf numFmtId="0" fontId="15" fillId="0" borderId="0" xfId="0" applyFont="1" applyProtection="1"/>
    <xf numFmtId="0" fontId="22" fillId="0" borderId="0" xfId="0" applyFont="1" applyAlignment="1" applyProtection="1">
      <alignment horizontal="right"/>
    </xf>
    <xf numFmtId="0" fontId="10" fillId="0" borderId="0" xfId="0" applyFont="1" applyFill="1" applyProtection="1"/>
    <xf numFmtId="0" fontId="13" fillId="0" borderId="21" xfId="0" applyFont="1" applyBorder="1" applyProtection="1"/>
    <xf numFmtId="0" fontId="13" fillId="0" borderId="15" xfId="0" applyFont="1" applyBorder="1" applyProtection="1"/>
    <xf numFmtId="0" fontId="16" fillId="0" borderId="15" xfId="0" applyFont="1" applyBorder="1" applyProtection="1"/>
    <xf numFmtId="0" fontId="9" fillId="0" borderId="0" xfId="86" applyNumberFormat="1" applyFont="1" applyFill="1" applyAlignment="1" applyProtection="1">
      <alignment horizontal="left"/>
    </xf>
    <xf numFmtId="0" fontId="9" fillId="0" borderId="0" xfId="86" applyNumberFormat="1" applyFont="1" applyFill="1" applyBorder="1" applyAlignment="1" applyProtection="1">
      <alignment horizontal="left"/>
    </xf>
    <xf numFmtId="0" fontId="13" fillId="0" borderId="17" xfId="0" applyFont="1" applyBorder="1" applyProtection="1"/>
    <xf numFmtId="0" fontId="13" fillId="0" borderId="0" xfId="0" applyFont="1" applyFill="1" applyProtection="1"/>
    <xf numFmtId="173" fontId="16" fillId="0" borderId="20" xfId="86" applyNumberFormat="1" applyFont="1" applyBorder="1" applyProtection="1"/>
    <xf numFmtId="0" fontId="11" fillId="0" borderId="0" xfId="0" applyFont="1" applyFill="1" applyProtection="1"/>
    <xf numFmtId="173" fontId="26" fillId="0" borderId="0" xfId="0" applyNumberFormat="1" applyFont="1" applyAlignment="1" applyProtection="1">
      <alignment horizontal="left"/>
    </xf>
    <xf numFmtId="0" fontId="16" fillId="0" borderId="0" xfId="0" applyFont="1" applyFill="1" applyAlignment="1" applyProtection="1">
      <alignment wrapText="1"/>
    </xf>
    <xf numFmtId="0" fontId="11" fillId="0" borderId="0" xfId="0" applyFont="1" applyFill="1" applyAlignment="1" applyProtection="1"/>
    <xf numFmtId="0" fontId="16" fillId="0" borderId="0" xfId="0" applyFont="1" applyFill="1" applyAlignment="1" applyProtection="1"/>
    <xf numFmtId="0" fontId="16" fillId="0" borderId="0" xfId="0" applyFont="1" applyFill="1" applyBorder="1" applyAlignment="1" applyProtection="1">
      <alignment wrapText="1"/>
    </xf>
    <xf numFmtId="0" fontId="16" fillId="0" borderId="22" xfId="0" applyFont="1" applyFill="1" applyBorder="1" applyAlignment="1" applyProtection="1">
      <alignment horizontal="center"/>
    </xf>
    <xf numFmtId="0" fontId="0" fillId="0" borderId="23" xfId="0" applyBorder="1" applyAlignment="1" applyProtection="1"/>
    <xf numFmtId="0" fontId="0" fillId="0" borderId="24" xfId="0" applyBorder="1" applyAlignment="1" applyProtection="1"/>
    <xf numFmtId="0" fontId="0" fillId="0" borderId="0" xfId="0" applyFill="1" applyBorder="1" applyAlignment="1" applyProtection="1"/>
    <xf numFmtId="0" fontId="16" fillId="0" borderId="0" xfId="0" applyFont="1" applyBorder="1" applyAlignment="1" applyProtection="1"/>
    <xf numFmtId="0" fontId="16" fillId="0" borderId="17" xfId="0" applyFont="1" applyFill="1" applyBorder="1" applyProtection="1"/>
    <xf numFmtId="0" fontId="16" fillId="0" borderId="0" xfId="0" applyFont="1" applyBorder="1" applyAlignment="1" applyProtection="1">
      <alignment horizontal="center"/>
    </xf>
    <xf numFmtId="0" fontId="13" fillId="0" borderId="25" xfId="0" applyFont="1" applyFill="1" applyBorder="1" applyAlignment="1" applyProtection="1">
      <alignment horizontal="center"/>
    </xf>
    <xf numFmtId="173" fontId="16" fillId="0" borderId="0" xfId="0" applyNumberFormat="1" applyFont="1" applyFill="1" applyBorder="1" applyAlignment="1" applyProtection="1">
      <alignment horizontal="right"/>
    </xf>
    <xf numFmtId="10" fontId="16" fillId="0" borderId="18" xfId="0" applyNumberFormat="1" applyFont="1" applyBorder="1" applyProtection="1"/>
    <xf numFmtId="10" fontId="16" fillId="0" borderId="0" xfId="0" applyNumberFormat="1" applyFont="1" applyFill="1" applyBorder="1" applyProtection="1"/>
    <xf numFmtId="173" fontId="16" fillId="0" borderId="18" xfId="0" applyNumberFormat="1" applyFont="1" applyFill="1" applyBorder="1" applyAlignment="1" applyProtection="1">
      <alignment horizontal="right"/>
    </xf>
    <xf numFmtId="10" fontId="16" fillId="0" borderId="0" xfId="0" applyNumberFormat="1" applyFont="1" applyBorder="1" applyProtection="1"/>
    <xf numFmtId="0" fontId="16" fillId="0" borderId="19" xfId="0" applyFont="1" applyBorder="1" applyProtection="1"/>
    <xf numFmtId="0" fontId="16" fillId="0" borderId="6" xfId="0" applyFont="1" applyBorder="1" applyAlignment="1" applyProtection="1">
      <alignment horizontal="center"/>
    </xf>
    <xf numFmtId="0" fontId="0" fillId="0" borderId="6" xfId="0" applyBorder="1" applyProtection="1"/>
    <xf numFmtId="0" fontId="13" fillId="0" borderId="26" xfId="0" applyFont="1" applyBorder="1" applyAlignment="1" applyProtection="1">
      <alignment horizontal="center" wrapText="1"/>
    </xf>
    <xf numFmtId="173" fontId="13" fillId="0" borderId="0" xfId="86" applyNumberFormat="1" applyFont="1" applyBorder="1" applyAlignment="1" applyProtection="1">
      <alignment horizontal="center" wrapText="1"/>
    </xf>
    <xf numFmtId="173" fontId="13" fillId="0" borderId="26" xfId="86" applyNumberFormat="1" applyFont="1" applyBorder="1" applyAlignment="1" applyProtection="1">
      <alignment horizontal="center" wrapText="1"/>
    </xf>
    <xf numFmtId="173" fontId="13" fillId="0" borderId="25" xfId="86" applyNumberFormat="1" applyFont="1" applyBorder="1" applyAlignment="1" applyProtection="1">
      <alignment horizontal="center" wrapText="1"/>
    </xf>
    <xf numFmtId="0" fontId="13" fillId="0" borderId="27" xfId="0" applyFont="1" applyBorder="1" applyAlignment="1" applyProtection="1">
      <alignment horizontal="center" wrapText="1"/>
    </xf>
    <xf numFmtId="0" fontId="13" fillId="0" borderId="0" xfId="0" applyFont="1" applyBorder="1" applyAlignment="1" applyProtection="1">
      <alignment horizontal="center" wrapText="1"/>
    </xf>
    <xf numFmtId="0" fontId="13" fillId="0" borderId="28" xfId="0" applyFont="1" applyBorder="1" applyAlignment="1" applyProtection="1">
      <alignment horizontal="center"/>
    </xf>
    <xf numFmtId="0" fontId="13" fillId="0" borderId="6" xfId="0" applyFont="1" applyBorder="1" applyAlignment="1" applyProtection="1">
      <alignment horizontal="center"/>
    </xf>
    <xf numFmtId="173" fontId="13" fillId="0" borderId="28" xfId="86" applyNumberFormat="1" applyFont="1" applyBorder="1" applyAlignment="1" applyProtection="1">
      <alignment horizontal="center"/>
    </xf>
    <xf numFmtId="173" fontId="13" fillId="0" borderId="20" xfId="86" applyNumberFormat="1" applyFont="1" applyBorder="1" applyAlignment="1" applyProtection="1">
      <alignment horizontal="center"/>
    </xf>
    <xf numFmtId="0" fontId="13" fillId="0" borderId="28" xfId="0" applyFont="1" applyFill="1" applyBorder="1" applyAlignment="1" applyProtection="1">
      <alignment horizontal="center"/>
    </xf>
    <xf numFmtId="0" fontId="13" fillId="0" borderId="27" xfId="0" applyFont="1" applyFill="1" applyBorder="1" applyAlignment="1" applyProtection="1">
      <alignment horizontal="center"/>
    </xf>
    <xf numFmtId="0" fontId="16" fillId="0" borderId="27" xfId="0" applyNumberFormat="1" applyFont="1" applyBorder="1" applyAlignment="1" applyProtection="1">
      <alignment horizontal="center"/>
    </xf>
    <xf numFmtId="173" fontId="16" fillId="0" borderId="27" xfId="86" applyNumberFormat="1" applyFont="1" applyBorder="1" applyProtection="1"/>
    <xf numFmtId="173" fontId="16" fillId="0" borderId="27" xfId="86" applyNumberFormat="1" applyFont="1" applyFill="1" applyBorder="1" applyProtection="1"/>
    <xf numFmtId="173" fontId="16" fillId="0" borderId="18" xfId="86" applyNumberFormat="1" applyFont="1" applyFill="1" applyBorder="1" applyProtection="1"/>
    <xf numFmtId="174" fontId="16" fillId="0" borderId="27" xfId="0" applyNumberFormat="1" applyFont="1" applyBorder="1" applyProtection="1"/>
    <xf numFmtId="174" fontId="12" fillId="28" borderId="26" xfId="0" applyNumberFormat="1" applyFont="1" applyFill="1" applyBorder="1" applyProtection="1"/>
    <xf numFmtId="174" fontId="16" fillId="29" borderId="26" xfId="0" applyNumberFormat="1" applyFont="1" applyFill="1" applyBorder="1" applyProtection="1"/>
    <xf numFmtId="173" fontId="16" fillId="0" borderId="27" xfId="0" applyNumberFormat="1" applyFont="1" applyBorder="1" applyProtection="1"/>
    <xf numFmtId="173" fontId="16" fillId="0" borderId="18" xfId="86" applyNumberFormat="1" applyFont="1" applyBorder="1" applyProtection="1"/>
    <xf numFmtId="174" fontId="12" fillId="28" borderId="27" xfId="0" applyNumberFormat="1" applyFont="1" applyFill="1" applyBorder="1" applyProtection="1"/>
    <xf numFmtId="174" fontId="16" fillId="29" borderId="27" xfId="0" applyNumberFormat="1" applyFont="1" applyFill="1" applyBorder="1" applyProtection="1"/>
    <xf numFmtId="0" fontId="16" fillId="0" borderId="28" xfId="0" applyNumberFormat="1" applyFont="1" applyBorder="1" applyAlignment="1" applyProtection="1">
      <alignment horizontal="center"/>
    </xf>
    <xf numFmtId="173" fontId="16" fillId="0" borderId="6" xfId="0" applyNumberFormat="1" applyFont="1" applyBorder="1" applyProtection="1"/>
    <xf numFmtId="173" fontId="16" fillId="0" borderId="28" xfId="0" applyNumberFormat="1" applyFont="1" applyBorder="1" applyProtection="1"/>
    <xf numFmtId="173" fontId="16" fillId="0" borderId="28" xfId="86" applyNumberFormat="1" applyFont="1" applyBorder="1" applyProtection="1"/>
    <xf numFmtId="174" fontId="16" fillId="0" borderId="28" xfId="0" applyNumberFormat="1" applyFont="1" applyBorder="1" applyProtection="1"/>
    <xf numFmtId="174" fontId="12" fillId="28" borderId="28" xfId="0" applyNumberFormat="1" applyFont="1" applyFill="1" applyBorder="1" applyProtection="1"/>
    <xf numFmtId="174" fontId="16" fillId="29" borderId="28" xfId="0" applyNumberFormat="1" applyFont="1" applyFill="1" applyBorder="1" applyProtection="1"/>
    <xf numFmtId="10" fontId="0" fillId="0" borderId="0" xfId="268" applyNumberFormat="1" applyFont="1" applyAlignment="1" applyProtection="1">
      <alignment horizontal="right"/>
    </xf>
    <xf numFmtId="172" fontId="16" fillId="0" borderId="21" xfId="259" applyFont="1" applyBorder="1" applyAlignment="1" applyProtection="1"/>
    <xf numFmtId="172" fontId="16" fillId="0" borderId="15" xfId="259" applyFont="1" applyBorder="1" applyAlignment="1" applyProtection="1"/>
    <xf numFmtId="3" fontId="16" fillId="0" borderId="25" xfId="259" applyNumberFormat="1" applyFont="1" applyBorder="1" applyAlignment="1" applyProtection="1"/>
    <xf numFmtId="172" fontId="16" fillId="0" borderId="17" xfId="259" applyFont="1" applyBorder="1" applyAlignment="1" applyProtection="1"/>
    <xf numFmtId="3" fontId="16" fillId="0" borderId="18" xfId="259" applyNumberFormat="1" applyFont="1" applyBorder="1" applyAlignment="1" applyProtection="1"/>
    <xf numFmtId="0" fontId="16" fillId="0" borderId="0" xfId="259" quotePrefix="1" applyNumberFormat="1" applyFont="1" applyBorder="1" applyAlignment="1" applyProtection="1">
      <alignment horizontal="center"/>
    </xf>
    <xf numFmtId="0" fontId="16" fillId="0" borderId="18" xfId="0" applyFont="1" applyBorder="1" applyProtection="1"/>
    <xf numFmtId="10" fontId="36" fillId="0" borderId="0" xfId="0" applyNumberFormat="1" applyFont="1" applyFill="1" applyAlignment="1" applyProtection="1">
      <alignment horizontal="center"/>
    </xf>
    <xf numFmtId="0" fontId="16" fillId="0" borderId="17" xfId="0" applyFont="1" applyBorder="1" applyProtection="1"/>
    <xf numFmtId="0" fontId="16" fillId="0" borderId="0" xfId="0" applyFont="1" applyBorder="1" applyAlignment="1" applyProtection="1">
      <alignment horizontal="right"/>
    </xf>
    <xf numFmtId="174" fontId="16" fillId="0" borderId="18" xfId="0" applyNumberFormat="1" applyFont="1" applyBorder="1" applyProtection="1"/>
    <xf numFmtId="174" fontId="16" fillId="0" borderId="20" xfId="0" applyNumberFormat="1" applyFont="1" applyBorder="1" applyProtection="1"/>
    <xf numFmtId="173" fontId="16" fillId="0" borderId="25" xfId="0" applyNumberFormat="1" applyFont="1" applyBorder="1" applyProtection="1"/>
    <xf numFmtId="166" fontId="16" fillId="0" borderId="19" xfId="259" applyNumberFormat="1" applyFont="1" applyBorder="1" applyAlignment="1" applyProtection="1">
      <alignment horizontal="center"/>
    </xf>
    <xf numFmtId="0" fontId="16" fillId="0" borderId="6" xfId="259" applyNumberFormat="1" applyFont="1" applyBorder="1" applyAlignment="1" applyProtection="1">
      <alignment horizontal="center"/>
    </xf>
    <xf numFmtId="173" fontId="16" fillId="0" borderId="6" xfId="259" quotePrefix="1" applyNumberFormat="1" applyFont="1" applyBorder="1" applyAlignment="1" applyProtection="1">
      <alignment horizontal="center"/>
    </xf>
    <xf numFmtId="41" fontId="16" fillId="0" borderId="0" xfId="259" applyNumberFormat="1" applyFont="1" applyFill="1" applyBorder="1" applyAlignment="1" applyProtection="1">
      <alignment horizontal="right"/>
    </xf>
    <xf numFmtId="10" fontId="16" fillId="0" borderId="0" xfId="268" applyNumberFormat="1" applyFont="1" applyFill="1" applyBorder="1" applyAlignment="1" applyProtection="1"/>
    <xf numFmtId="0" fontId="129" fillId="27" borderId="0" xfId="0" applyFont="1" applyFill="1" applyBorder="1" applyProtection="1"/>
    <xf numFmtId="0" fontId="13" fillId="0" borderId="21" xfId="0" applyFont="1" applyFill="1" applyBorder="1" applyAlignment="1" applyProtection="1">
      <alignment horizontal="center"/>
    </xf>
    <xf numFmtId="173" fontId="16" fillId="0" borderId="17" xfId="86" applyNumberFormat="1" applyFont="1" applyBorder="1" applyProtection="1"/>
    <xf numFmtId="173" fontId="13" fillId="0" borderId="0" xfId="86" applyNumberFormat="1" applyFont="1" applyBorder="1" applyProtection="1"/>
    <xf numFmtId="173" fontId="16" fillId="0" borderId="18" xfId="0" applyNumberFormat="1" applyFont="1" applyBorder="1" applyProtection="1"/>
    <xf numFmtId="173" fontId="13" fillId="0" borderId="11" xfId="86" applyNumberFormat="1" applyFont="1" applyBorder="1" applyProtection="1"/>
    <xf numFmtId="173" fontId="16" fillId="0" borderId="29" xfId="0" applyNumberFormat="1" applyFont="1" applyBorder="1" applyProtection="1"/>
    <xf numFmtId="173" fontId="13" fillId="0" borderId="6" xfId="86" applyNumberFormat="1" applyFont="1" applyFill="1" applyBorder="1" applyAlignment="1" applyProtection="1">
      <alignment horizontal="left"/>
    </xf>
    <xf numFmtId="173" fontId="13" fillId="0" borderId="20" xfId="86" applyNumberFormat="1" applyFont="1" applyFill="1" applyBorder="1" applyAlignment="1" applyProtection="1">
      <alignment horizontal="left"/>
    </xf>
    <xf numFmtId="173" fontId="16" fillId="0" borderId="26" xfId="0" applyNumberFormat="1" applyFont="1" applyBorder="1" applyProtection="1"/>
    <xf numFmtId="174" fontId="16" fillId="0" borderId="26" xfId="0" applyNumberFormat="1" applyFont="1" applyBorder="1" applyProtection="1"/>
    <xf numFmtId="0" fontId="13" fillId="0" borderId="0" xfId="259" applyNumberFormat="1" applyFont="1" applyFill="1" applyBorder="1" applyAlignment="1" applyProtection="1">
      <alignment vertical="center"/>
    </xf>
    <xf numFmtId="0" fontId="109" fillId="0" borderId="0" xfId="0" applyFont="1" applyProtection="1"/>
    <xf numFmtId="0" fontId="13" fillId="0" borderId="0" xfId="259" applyNumberFormat="1" applyFont="1" applyFill="1" applyBorder="1" applyAlignment="1" applyProtection="1">
      <alignment vertical="top"/>
    </xf>
    <xf numFmtId="0" fontId="26" fillId="0" borderId="0" xfId="0" applyFont="1" applyAlignment="1" applyProtection="1"/>
    <xf numFmtId="0" fontId="113" fillId="0" borderId="0" xfId="261" applyFont="1" applyAlignment="1" applyProtection="1"/>
    <xf numFmtId="0" fontId="7" fillId="0" borderId="0" xfId="261" applyProtection="1"/>
    <xf numFmtId="44" fontId="113" fillId="0" borderId="0" xfId="117" applyFont="1" applyAlignment="1" applyProtection="1"/>
    <xf numFmtId="0" fontId="114" fillId="0" borderId="0" xfId="261" applyFont="1" applyProtection="1"/>
    <xf numFmtId="0" fontId="115" fillId="0" borderId="0" xfId="261" applyFont="1" applyAlignment="1" applyProtection="1">
      <alignment horizontal="center"/>
    </xf>
    <xf numFmtId="0" fontId="116" fillId="0" borderId="0" xfId="261" applyFont="1" applyProtection="1"/>
    <xf numFmtId="176" fontId="115" fillId="0" borderId="0" xfId="261" applyNumberFormat="1" applyFont="1" applyAlignment="1" applyProtection="1">
      <alignment horizontal="center"/>
    </xf>
    <xf numFmtId="0" fontId="115" fillId="0" borderId="0" xfId="261" applyFont="1" applyProtection="1"/>
    <xf numFmtId="176" fontId="115" fillId="0" borderId="0" xfId="261" quotePrefix="1" applyNumberFormat="1" applyFont="1" applyAlignment="1" applyProtection="1">
      <alignment horizontal="center"/>
    </xf>
    <xf numFmtId="193" fontId="115" fillId="0" borderId="0" xfId="261" quotePrefix="1" applyNumberFormat="1" applyFont="1" applyAlignment="1" applyProtection="1">
      <alignment horizontal="center"/>
    </xf>
    <xf numFmtId="0" fontId="117" fillId="0" borderId="0" xfId="261" applyFont="1" applyProtection="1"/>
    <xf numFmtId="0" fontId="118" fillId="0" borderId="16" xfId="261" applyFont="1" applyBorder="1" applyProtection="1"/>
    <xf numFmtId="0" fontId="114" fillId="0" borderId="16" xfId="261" applyFont="1" applyBorder="1" applyProtection="1"/>
    <xf numFmtId="0" fontId="7" fillId="0" borderId="0" xfId="261" applyFont="1" applyBorder="1" applyAlignment="1" applyProtection="1">
      <alignment horizontal="left"/>
    </xf>
    <xf numFmtId="0" fontId="114" fillId="0" borderId="0" xfId="261" applyFont="1" applyBorder="1" applyProtection="1"/>
    <xf numFmtId="0" fontId="7" fillId="0" borderId="0" xfId="261" applyFont="1" applyBorder="1" applyProtection="1"/>
    <xf numFmtId="0" fontId="119" fillId="0" borderId="0" xfId="261" applyFont="1" applyProtection="1"/>
    <xf numFmtId="176" fontId="7" fillId="0" borderId="0" xfId="261" quotePrefix="1" applyNumberFormat="1" applyAlignment="1" applyProtection="1">
      <alignment horizontal="right"/>
    </xf>
    <xf numFmtId="0" fontId="119" fillId="0" borderId="0" xfId="261" applyFont="1" applyAlignment="1" applyProtection="1">
      <alignment horizontal="right"/>
    </xf>
    <xf numFmtId="0" fontId="120" fillId="0" borderId="0" xfId="261" applyFont="1" applyProtection="1"/>
    <xf numFmtId="0" fontId="121" fillId="0" borderId="0" xfId="261" applyFont="1" applyProtection="1"/>
    <xf numFmtId="0" fontId="46" fillId="0" borderId="0" xfId="261" applyFont="1" applyProtection="1"/>
    <xf numFmtId="0" fontId="9" fillId="0" borderId="0" xfId="258" applyFont="1" applyProtection="1"/>
    <xf numFmtId="0" fontId="6" fillId="0" borderId="0" xfId="258" applyProtection="1"/>
    <xf numFmtId="0" fontId="6" fillId="0" borderId="0" xfId="258" applyAlignment="1" applyProtection="1">
      <alignment horizontal="center"/>
    </xf>
    <xf numFmtId="0" fontId="126" fillId="0" borderId="0" xfId="0" applyFont="1" applyFill="1" applyAlignment="1" applyProtection="1">
      <alignment horizontal="left"/>
    </xf>
    <xf numFmtId="0" fontId="126" fillId="0" borderId="0" xfId="0" applyFont="1" applyFill="1" applyProtection="1"/>
    <xf numFmtId="0" fontId="126" fillId="0" borderId="26" xfId="0" applyFont="1" applyFill="1" applyBorder="1" applyAlignment="1" applyProtection="1">
      <alignment horizontal="center" wrapText="1"/>
    </xf>
    <xf numFmtId="0" fontId="126" fillId="0" borderId="27" xfId="0" applyFont="1" applyFill="1" applyBorder="1" applyAlignment="1" applyProtection="1">
      <alignment horizontal="center" wrapText="1"/>
    </xf>
    <xf numFmtId="0" fontId="126" fillId="0" borderId="27" xfId="0" applyFont="1" applyFill="1" applyBorder="1" applyProtection="1"/>
    <xf numFmtId="170" fontId="127" fillId="0" borderId="0" xfId="0" applyNumberFormat="1" applyFont="1" applyFill="1" applyAlignment="1" applyProtection="1">
      <alignment horizontal="right"/>
    </xf>
    <xf numFmtId="170" fontId="126" fillId="0" borderId="0" xfId="0" applyNumberFormat="1" applyFont="1" applyFill="1" applyAlignment="1" applyProtection="1">
      <alignment horizontal="center"/>
    </xf>
    <xf numFmtId="170" fontId="126" fillId="0" borderId="0" xfId="0" applyNumberFormat="1" applyFont="1" applyFill="1" applyProtection="1"/>
    <xf numFmtId="170" fontId="127" fillId="0" borderId="0" xfId="0" applyNumberFormat="1" applyFont="1" applyFill="1" applyAlignment="1" applyProtection="1">
      <alignment horizontal="center"/>
    </xf>
    <xf numFmtId="170" fontId="9" fillId="0" borderId="0" xfId="0" applyNumberFormat="1" applyFont="1" applyFill="1" applyProtection="1"/>
    <xf numFmtId="5" fontId="126" fillId="0" borderId="28" xfId="0" applyNumberFormat="1" applyFont="1" applyFill="1" applyBorder="1" applyAlignment="1" applyProtection="1">
      <alignment horizontal="center"/>
    </xf>
    <xf numFmtId="173" fontId="126" fillId="0" borderId="0" xfId="0" applyNumberFormat="1" applyFont="1" applyFill="1" applyProtection="1"/>
    <xf numFmtId="0" fontId="126" fillId="0" borderId="0" xfId="0" applyFont="1" applyFill="1" applyAlignment="1" applyProtection="1">
      <alignment horizontal="center"/>
    </xf>
    <xf numFmtId="173" fontId="126" fillId="0" borderId="6" xfId="0" applyNumberFormat="1" applyFont="1" applyFill="1" applyBorder="1" applyProtection="1"/>
    <xf numFmtId="0" fontId="126" fillId="0" borderId="6" xfId="0" applyFont="1" applyFill="1" applyBorder="1" applyAlignment="1" applyProtection="1">
      <alignment horizontal="center"/>
    </xf>
    <xf numFmtId="0" fontId="9" fillId="0" borderId="6" xfId="0" applyFont="1" applyFill="1" applyBorder="1" applyProtection="1"/>
    <xf numFmtId="173" fontId="126" fillId="0" borderId="0" xfId="0" applyNumberFormat="1" applyFont="1" applyFill="1" applyAlignment="1" applyProtection="1">
      <alignment horizontal="left"/>
    </xf>
    <xf numFmtId="0" fontId="127" fillId="0" borderId="0" xfId="0" applyNumberFormat="1" applyFont="1" applyFill="1" applyAlignment="1" applyProtection="1">
      <alignment horizontal="left"/>
    </xf>
    <xf numFmtId="0" fontId="127" fillId="0" borderId="0" xfId="0" applyFont="1" applyFill="1" applyAlignment="1" applyProtection="1">
      <alignment horizontal="center" wrapText="1"/>
    </xf>
    <xf numFmtId="0" fontId="127" fillId="0" borderId="0" xfId="0" applyFont="1" applyFill="1" applyAlignment="1" applyProtection="1">
      <alignment horizontal="center"/>
    </xf>
    <xf numFmtId="173" fontId="127" fillId="0" borderId="0" xfId="0" applyNumberFormat="1" applyFont="1" applyFill="1" applyAlignment="1" applyProtection="1">
      <alignment horizontal="center" wrapText="1"/>
    </xf>
    <xf numFmtId="173" fontId="127" fillId="0" borderId="0" xfId="0" applyNumberFormat="1" applyFont="1" applyFill="1" applyAlignment="1" applyProtection="1">
      <alignment horizontal="center"/>
    </xf>
    <xf numFmtId="176" fontId="126" fillId="0" borderId="0" xfId="269" applyNumberFormat="1" applyFont="1" applyFill="1" applyProtection="1"/>
    <xf numFmtId="173" fontId="126" fillId="0" borderId="0" xfId="0" applyNumberFormat="1" applyFont="1" applyFill="1" applyAlignment="1" applyProtection="1">
      <alignment horizontal="center"/>
    </xf>
    <xf numFmtId="0" fontId="128" fillId="0" borderId="0" xfId="0" applyFont="1" applyFill="1" applyAlignment="1" applyProtection="1">
      <alignment horizontal="center"/>
    </xf>
    <xf numFmtId="173" fontId="126" fillId="0" borderId="0" xfId="88" applyNumberFormat="1" applyFont="1" applyFill="1" applyProtection="1"/>
    <xf numFmtId="176" fontId="126" fillId="0" borderId="0" xfId="0" applyNumberFormat="1" applyFont="1" applyFill="1" applyProtection="1"/>
    <xf numFmtId="0" fontId="126" fillId="0" borderId="0" xfId="0" applyNumberFormat="1" applyFont="1" applyFill="1" applyProtection="1"/>
    <xf numFmtId="173" fontId="126" fillId="0" borderId="11" xfId="88" applyNumberFormat="1" applyFont="1" applyFill="1" applyBorder="1" applyProtection="1"/>
    <xf numFmtId="173" fontId="127" fillId="0" borderId="0" xfId="88" applyNumberFormat="1" applyFont="1" applyFill="1" applyProtection="1"/>
    <xf numFmtId="173" fontId="127" fillId="0" borderId="0" xfId="88" applyNumberFormat="1" applyFont="1" applyFill="1" applyAlignment="1" applyProtection="1">
      <alignment horizontal="center"/>
    </xf>
    <xf numFmtId="0" fontId="128" fillId="0" borderId="0" xfId="0" applyFont="1" applyFill="1" applyProtection="1"/>
    <xf numFmtId="173" fontId="127" fillId="0" borderId="0" xfId="0" applyNumberFormat="1" applyFont="1" applyFill="1" applyProtection="1"/>
    <xf numFmtId="195" fontId="9" fillId="0" borderId="0" xfId="0" applyNumberFormat="1" applyFont="1" applyFill="1" applyProtection="1"/>
    <xf numFmtId="173" fontId="9" fillId="0" borderId="0" xfId="88" applyNumberFormat="1" applyFont="1" applyFill="1" applyProtection="1"/>
    <xf numFmtId="173" fontId="9" fillId="0" borderId="0" xfId="118" applyNumberFormat="1" applyFont="1" applyFill="1" applyProtection="1"/>
    <xf numFmtId="0" fontId="0" fillId="0" borderId="0" xfId="0" applyFill="1" applyAlignment="1" applyProtection="1">
      <alignment horizontal="left"/>
    </xf>
    <xf numFmtId="0" fontId="23" fillId="32" borderId="0" xfId="86" applyNumberFormat="1" applyFont="1" applyFill="1" applyAlignment="1" applyProtection="1">
      <protection locked="0"/>
    </xf>
    <xf numFmtId="173" fontId="23" fillId="32" borderId="0" xfId="86" applyNumberFormat="1" applyFont="1" applyFill="1" applyAlignment="1" applyProtection="1">
      <alignment horizontal="right"/>
      <protection locked="0"/>
    </xf>
    <xf numFmtId="41" fontId="23" fillId="32" borderId="0" xfId="259" applyNumberFormat="1" applyFont="1" applyFill="1" applyAlignment="1" applyProtection="1">
      <protection locked="0"/>
    </xf>
    <xf numFmtId="41" fontId="23" fillId="32" borderId="6" xfId="259" applyNumberFormat="1" applyFont="1" applyFill="1" applyBorder="1" applyAlignment="1" applyProtection="1">
      <protection locked="0"/>
    </xf>
    <xf numFmtId="3" fontId="23" fillId="32" borderId="0" xfId="259" applyNumberFormat="1" applyFont="1" applyFill="1" applyAlignment="1" applyProtection="1">
      <protection locked="0"/>
    </xf>
    <xf numFmtId="3" fontId="23" fillId="32" borderId="6" xfId="259" applyNumberFormat="1" applyFont="1" applyFill="1" applyBorder="1" applyAlignment="1" applyProtection="1">
      <protection locked="0"/>
    </xf>
    <xf numFmtId="10" fontId="23" fillId="32" borderId="0" xfId="268" applyNumberFormat="1" applyFont="1" applyFill="1" applyAlignment="1" applyProtection="1">
      <protection locked="0"/>
    </xf>
    <xf numFmtId="173" fontId="12" fillId="32" borderId="0" xfId="89" applyNumberFormat="1" applyFont="1" applyFill="1" applyBorder="1" applyAlignment="1" applyProtection="1">
      <alignment horizontal="right"/>
      <protection locked="0"/>
    </xf>
    <xf numFmtId="0" fontId="36" fillId="32" borderId="0" xfId="211" applyFont="1" applyFill="1" applyBorder="1" applyProtection="1">
      <protection locked="0"/>
    </xf>
    <xf numFmtId="173" fontId="12" fillId="32" borderId="11" xfId="89" applyNumberFormat="1" applyFont="1" applyFill="1" applyBorder="1" applyAlignment="1" applyProtection="1">
      <alignment horizontal="right"/>
      <protection locked="0"/>
    </xf>
    <xf numFmtId="41" fontId="12" fillId="32" borderId="0" xfId="249" applyNumberFormat="1" applyFont="1" applyFill="1" applyProtection="1">
      <protection locked="0"/>
    </xf>
    <xf numFmtId="41" fontId="12" fillId="32" borderId="11" xfId="249" applyNumberFormat="1" applyFont="1" applyFill="1" applyBorder="1" applyProtection="1">
      <protection locked="0"/>
    </xf>
    <xf numFmtId="37" fontId="12" fillId="32" borderId="0" xfId="0" applyNumberFormat="1" applyFont="1" applyFill="1" applyProtection="1">
      <protection locked="0"/>
    </xf>
    <xf numFmtId="3" fontId="67" fillId="32" borderId="0" xfId="0" applyNumberFormat="1" applyFont="1" applyFill="1" applyProtection="1">
      <protection locked="0"/>
    </xf>
    <xf numFmtId="3" fontId="130" fillId="32" borderId="0" xfId="0" applyNumberFormat="1" applyFont="1" applyFill="1" applyProtection="1">
      <protection locked="0"/>
    </xf>
    <xf numFmtId="37" fontId="130" fillId="32" borderId="0" xfId="0" applyNumberFormat="1" applyFont="1" applyFill="1" applyProtection="1">
      <protection locked="0"/>
    </xf>
    <xf numFmtId="1" fontId="67" fillId="32" borderId="0" xfId="0" applyNumberFormat="1" applyFont="1" applyFill="1" applyAlignment="1" applyProtection="1">
      <alignment horizontal="left"/>
      <protection locked="0"/>
    </xf>
    <xf numFmtId="38" fontId="67" fillId="0" borderId="15" xfId="0" applyNumberFormat="1" applyFont="1" applyFill="1" applyBorder="1"/>
    <xf numFmtId="173" fontId="0" fillId="0" borderId="0" xfId="0" applyNumberFormat="1" applyFill="1" applyProtection="1"/>
    <xf numFmtId="173" fontId="12" fillId="0" borderId="0" xfId="86" applyNumberFormat="1" applyFont="1" applyFill="1" applyProtection="1"/>
    <xf numFmtId="173" fontId="0" fillId="0" borderId="11" xfId="0" applyNumberFormat="1" applyFill="1" applyBorder="1" applyProtection="1"/>
    <xf numFmtId="173" fontId="12" fillId="32" borderId="0" xfId="115" applyNumberFormat="1" applyFont="1" applyFill="1" applyProtection="1">
      <protection locked="0"/>
    </xf>
    <xf numFmtId="0" fontId="23" fillId="32" borderId="0" xfId="249" applyFont="1" applyFill="1" applyAlignment="1" applyProtection="1">
      <alignment horizontal="center"/>
      <protection locked="0"/>
    </xf>
    <xf numFmtId="3" fontId="23" fillId="32" borderId="0" xfId="0" applyNumberFormat="1" applyFont="1" applyFill="1" applyAlignment="1" applyProtection="1">
      <protection locked="0"/>
    </xf>
    <xf numFmtId="41" fontId="23" fillId="32" borderId="0" xfId="249" applyNumberFormat="1" applyFont="1" applyFill="1" applyBorder="1" applyProtection="1">
      <protection locked="0"/>
    </xf>
    <xf numFmtId="38" fontId="12" fillId="32" borderId="0" xfId="0" applyNumberFormat="1" applyFont="1" applyFill="1" applyBorder="1" applyProtection="1">
      <protection locked="0"/>
    </xf>
    <xf numFmtId="37" fontId="12" fillId="32" borderId="0" xfId="0" applyNumberFormat="1" applyFont="1" applyFill="1" applyBorder="1" applyProtection="1">
      <protection locked="0"/>
    </xf>
    <xf numFmtId="173" fontId="81" fillId="32" borderId="0" xfId="260" applyNumberFormat="1" applyFont="1" applyFill="1" applyBorder="1" applyProtection="1">
      <protection locked="0"/>
    </xf>
    <xf numFmtId="0" fontId="75" fillId="32" borderId="0" xfId="260" applyFont="1" applyFill="1" applyAlignment="1" applyProtection="1">
      <alignment horizontal="center"/>
      <protection locked="0"/>
    </xf>
    <xf numFmtId="0" fontId="12" fillId="32" borderId="0" xfId="86" applyNumberFormat="1" applyFont="1" applyFill="1" applyAlignment="1" applyProtection="1">
      <protection locked="0"/>
    </xf>
    <xf numFmtId="173" fontId="6" fillId="32" borderId="6" xfId="259" applyNumberFormat="1" applyFont="1" applyFill="1" applyBorder="1" applyAlignment="1" applyProtection="1">
      <alignment horizontal="center"/>
      <protection locked="0"/>
    </xf>
    <xf numFmtId="0" fontId="23" fillId="32" borderId="0" xfId="86" applyNumberFormat="1" applyFont="1" applyFill="1" applyAlignment="1" applyProtection="1">
      <alignment horizontal="left"/>
      <protection locked="0"/>
    </xf>
    <xf numFmtId="173" fontId="160" fillId="32" borderId="18" xfId="86" applyNumberFormat="1" applyFont="1" applyFill="1" applyBorder="1" applyAlignment="1" applyProtection="1">
      <alignment horizontal="right"/>
      <protection locked="0"/>
    </xf>
    <xf numFmtId="173" fontId="12" fillId="32" borderId="18" xfId="86" applyNumberFormat="1" applyFont="1" applyFill="1" applyBorder="1" applyAlignment="1" applyProtection="1">
      <alignment horizontal="right"/>
      <protection locked="0"/>
    </xf>
    <xf numFmtId="0" fontId="12" fillId="32" borderId="20" xfId="0" applyFont="1" applyFill="1" applyBorder="1" applyAlignment="1" applyProtection="1">
      <alignment horizontal="right"/>
      <protection locked="0"/>
    </xf>
    <xf numFmtId="173" fontId="12" fillId="32" borderId="18" xfId="0" applyNumberFormat="1" applyFont="1" applyFill="1" applyBorder="1" applyAlignment="1" applyProtection="1">
      <alignment horizontal="right"/>
      <protection locked="0"/>
    </xf>
    <xf numFmtId="174" fontId="12" fillId="32" borderId="26" xfId="0" applyNumberFormat="1" applyFont="1" applyFill="1" applyBorder="1" applyProtection="1">
      <protection locked="0"/>
    </xf>
    <xf numFmtId="174" fontId="12" fillId="32" borderId="27" xfId="0" applyNumberFormat="1" applyFont="1" applyFill="1" applyBorder="1" applyProtection="1">
      <protection locked="0"/>
    </xf>
    <xf numFmtId="174" fontId="12" fillId="32" borderId="28" xfId="0" applyNumberFormat="1" applyFont="1" applyFill="1" applyBorder="1" applyProtection="1">
      <protection locked="0"/>
    </xf>
    <xf numFmtId="174" fontId="16" fillId="32" borderId="0" xfId="0" applyNumberFormat="1" applyFont="1" applyFill="1" applyBorder="1" applyProtection="1">
      <protection locked="0"/>
    </xf>
    <xf numFmtId="174" fontId="16" fillId="32" borderId="6" xfId="0" applyNumberFormat="1" applyFont="1" applyFill="1" applyBorder="1" applyProtection="1">
      <protection locked="0"/>
    </xf>
    <xf numFmtId="0" fontId="73" fillId="32" borderId="0" xfId="0" applyFont="1" applyFill="1" applyAlignment="1" applyProtection="1">
      <alignment horizontal="left"/>
      <protection locked="0"/>
    </xf>
    <xf numFmtId="0" fontId="12" fillId="32" borderId="18" xfId="0" applyFont="1" applyFill="1" applyBorder="1" applyAlignment="1" applyProtection="1">
      <alignment horizontal="right"/>
      <protection locked="0"/>
    </xf>
    <xf numFmtId="0" fontId="21" fillId="0" borderId="0" xfId="249" applyFont="1" applyAlignment="1">
      <alignment wrapText="1"/>
    </xf>
    <xf numFmtId="173" fontId="12" fillId="32" borderId="0" xfId="88" applyNumberFormat="1" applyFont="1" applyFill="1" applyBorder="1" applyProtection="1">
      <protection locked="0"/>
    </xf>
    <xf numFmtId="173" fontId="24" fillId="32" borderId="0" xfId="86" applyNumberFormat="1" applyFont="1" applyFill="1" applyProtection="1">
      <protection locked="0"/>
    </xf>
    <xf numFmtId="189" fontId="24" fillId="32" borderId="0" xfId="0" applyNumberFormat="1" applyFont="1" applyFill="1" applyProtection="1">
      <protection locked="0"/>
    </xf>
    <xf numFmtId="0" fontId="0" fillId="32" borderId="0" xfId="0" applyFill="1" applyAlignment="1" applyProtection="1">
      <alignment horizontal="center"/>
      <protection locked="0"/>
    </xf>
    <xf numFmtId="0" fontId="24" fillId="32" borderId="0" xfId="0" applyFont="1" applyFill="1" applyProtection="1">
      <protection locked="0"/>
    </xf>
    <xf numFmtId="170" fontId="126" fillId="32" borderId="28" xfId="0" applyNumberFormat="1" applyFont="1" applyFill="1" applyBorder="1" applyAlignment="1" applyProtection="1">
      <alignment horizontal="center"/>
      <protection locked="0"/>
    </xf>
    <xf numFmtId="176" fontId="126" fillId="32" borderId="0" xfId="269" applyNumberFormat="1" applyFont="1" applyFill="1" applyProtection="1">
      <protection locked="0"/>
    </xf>
    <xf numFmtId="197" fontId="161" fillId="31" borderId="0" xfId="0" applyNumberFormat="1" applyFont="1" applyFill="1" applyAlignment="1">
      <alignment horizontal="right"/>
    </xf>
    <xf numFmtId="41" fontId="12" fillId="32" borderId="0" xfId="250" applyNumberFormat="1" applyFont="1" applyFill="1"/>
    <xf numFmtId="41" fontId="12" fillId="32" borderId="11" xfId="250" applyNumberFormat="1" applyFont="1" applyFill="1" applyBorder="1"/>
    <xf numFmtId="41" fontId="12" fillId="32" borderId="0" xfId="250" applyNumberFormat="1" applyFont="1" applyFill="1"/>
    <xf numFmtId="41" fontId="12" fillId="32" borderId="11" xfId="250" applyNumberFormat="1" applyFont="1" applyFill="1" applyBorder="1"/>
    <xf numFmtId="173" fontId="12" fillId="0" borderId="0" xfId="115" applyNumberFormat="1" applyFont="1" applyFill="1" applyProtection="1">
      <protection locked="0"/>
    </xf>
    <xf numFmtId="0" fontId="134" fillId="0" borderId="0" xfId="0" applyFont="1" applyAlignment="1">
      <alignment vertical="center"/>
    </xf>
    <xf numFmtId="0" fontId="84" fillId="0" borderId="0" xfId="211" applyNumberFormat="1" applyFont="1" applyFill="1" applyBorder="1" applyAlignment="1">
      <alignment horizontal="center"/>
    </xf>
    <xf numFmtId="173" fontId="81" fillId="0" borderId="0" xfId="260" applyNumberFormat="1" applyFont="1" applyFill="1" applyBorder="1" applyProtection="1">
      <protection locked="0"/>
    </xf>
    <xf numFmtId="0" fontId="75" fillId="0" borderId="0" xfId="260" applyFont="1" applyFill="1" applyAlignment="1" applyProtection="1">
      <alignment horizontal="center"/>
      <protection locked="0"/>
    </xf>
    <xf numFmtId="0" fontId="135" fillId="0" borderId="0" xfId="0" applyNumberFormat="1" applyFont="1" applyAlignment="1">
      <alignment horizontal="center"/>
    </xf>
    <xf numFmtId="172" fontId="16" fillId="0" borderId="0" xfId="255" applyFont="1" applyAlignment="1"/>
    <xf numFmtId="173" fontId="16" fillId="0" borderId="0" xfId="0" applyNumberFormat="1" applyFont="1" applyAlignment="1"/>
    <xf numFmtId="0" fontId="16" fillId="0" borderId="0" xfId="262" applyFont="1"/>
    <xf numFmtId="0" fontId="16" fillId="0" borderId="0" xfId="0" applyNumberFormat="1" applyFont="1" applyAlignment="1">
      <alignment horizontal="center"/>
    </xf>
    <xf numFmtId="173" fontId="16" fillId="0" borderId="31" xfId="88" applyNumberFormat="1" applyFont="1" applyBorder="1"/>
    <xf numFmtId="173" fontId="16" fillId="0" borderId="14" xfId="88" applyNumberFormat="1" applyFont="1" applyBorder="1"/>
    <xf numFmtId="173" fontId="16" fillId="0" borderId="32" xfId="88" applyNumberFormat="1" applyFont="1" applyBorder="1"/>
    <xf numFmtId="0" fontId="16" fillId="0" borderId="14" xfId="0" applyNumberFormat="1" applyFont="1" applyBorder="1" applyAlignment="1">
      <alignment horizontal="center"/>
    </xf>
    <xf numFmtId="173" fontId="12" fillId="32" borderId="0" xfId="89" applyNumberFormat="1" applyFont="1" applyFill="1" applyBorder="1" applyAlignment="1">
      <alignment horizontal="right"/>
    </xf>
    <xf numFmtId="0" fontId="16" fillId="0" borderId="35" xfId="0" applyNumberFormat="1" applyFont="1" applyBorder="1" applyAlignment="1">
      <alignment horizontal="center"/>
    </xf>
    <xf numFmtId="0" fontId="16" fillId="0" borderId="34" xfId="0" applyNumberFormat="1" applyFont="1" applyBorder="1" applyAlignment="1">
      <alignment horizontal="center"/>
    </xf>
    <xf numFmtId="0" fontId="135" fillId="0" borderId="0" xfId="0" applyFont="1" applyAlignment="1"/>
    <xf numFmtId="3" fontId="16" fillId="0" borderId="37" xfId="211" applyNumberFormat="1" applyFont="1" applyFill="1" applyBorder="1" applyAlignment="1">
      <alignment horizontal="center" wrapText="1"/>
    </xf>
    <xf numFmtId="3" fontId="16" fillId="0" borderId="11" xfId="211" applyNumberFormat="1" applyFont="1" applyFill="1" applyBorder="1" applyAlignment="1">
      <alignment horizontal="center" wrapText="1"/>
    </xf>
    <xf numFmtId="3" fontId="16" fillId="0" borderId="35" xfId="211" applyNumberFormat="1" applyFont="1" applyFill="1" applyBorder="1" applyAlignment="1">
      <alignment horizontal="center" wrapText="1"/>
    </xf>
    <xf numFmtId="0" fontId="13" fillId="0" borderId="0" xfId="262" applyFont="1" applyBorder="1" applyAlignment="1">
      <alignment horizontal="center"/>
    </xf>
    <xf numFmtId="0" fontId="13" fillId="0" borderId="33" xfId="262" applyFont="1" applyBorder="1" applyAlignment="1">
      <alignment horizontal="center"/>
    </xf>
    <xf numFmtId="0" fontId="13" fillId="0" borderId="34" xfId="262" applyFont="1" applyBorder="1" applyAlignment="1">
      <alignment horizontal="center"/>
    </xf>
    <xf numFmtId="0" fontId="13" fillId="0" borderId="33" xfId="262" applyFont="1" applyBorder="1" applyAlignment="1">
      <alignment horizontal="center" wrapText="1"/>
    </xf>
    <xf numFmtId="0" fontId="13" fillId="0" borderId="0" xfId="262" applyFont="1" applyBorder="1" applyAlignment="1">
      <alignment horizontal="center" wrapText="1"/>
    </xf>
    <xf numFmtId="0" fontId="13" fillId="0" borderId="34" xfId="262" applyFont="1" applyBorder="1" applyAlignment="1">
      <alignment horizontal="center" wrapText="1"/>
    </xf>
    <xf numFmtId="0" fontId="16" fillId="0" borderId="34" xfId="0" applyNumberFormat="1" applyFont="1" applyBorder="1" applyAlignment="1">
      <alignment horizontal="center" wrapText="1"/>
    </xf>
    <xf numFmtId="0" fontId="16" fillId="0" borderId="38" xfId="0" applyFont="1" applyBorder="1" applyAlignment="1"/>
    <xf numFmtId="0" fontId="16" fillId="0" borderId="2" xfId="0" applyFont="1" applyBorder="1" applyAlignment="1"/>
    <xf numFmtId="0" fontId="16" fillId="0" borderId="36" xfId="0" applyFont="1" applyBorder="1" applyAlignment="1"/>
    <xf numFmtId="0" fontId="13" fillId="0" borderId="2" xfId="262" applyFont="1" applyBorder="1" applyAlignment="1">
      <alignment horizontal="centerContinuous" wrapText="1"/>
    </xf>
    <xf numFmtId="0" fontId="16" fillId="0" borderId="36" xfId="0" applyNumberFormat="1" applyFont="1" applyBorder="1" applyAlignment="1">
      <alignment horizontal="center"/>
    </xf>
    <xf numFmtId="37" fontId="16" fillId="0" borderId="0" xfId="262" applyNumberFormat="1" applyFont="1"/>
    <xf numFmtId="173" fontId="16" fillId="0" borderId="31" xfId="89" applyNumberFormat="1" applyFont="1" applyBorder="1"/>
    <xf numFmtId="173" fontId="16" fillId="0" borderId="14" xfId="89" applyNumberFormat="1" applyFont="1" applyBorder="1"/>
    <xf numFmtId="0" fontId="16" fillId="0" borderId="39" xfId="262" applyFont="1" applyBorder="1" applyAlignment="1">
      <alignment horizontal="right"/>
    </xf>
    <xf numFmtId="0" fontId="16" fillId="0" borderId="40" xfId="0" applyNumberFormat="1" applyFont="1" applyBorder="1" applyAlignment="1">
      <alignment horizontal="center"/>
    </xf>
    <xf numFmtId="0" fontId="16" fillId="0" borderId="37" xfId="262" applyFont="1" applyBorder="1"/>
    <xf numFmtId="0" fontId="16" fillId="0" borderId="33" xfId="262" applyFont="1" applyBorder="1"/>
    <xf numFmtId="0" fontId="16" fillId="0" borderId="33" xfId="262" quotePrefix="1" applyFont="1" applyBorder="1" applyAlignment="1">
      <alignment horizontal="left"/>
    </xf>
    <xf numFmtId="3" fontId="28" fillId="0" borderId="37" xfId="211" applyNumberFormat="1" applyFont="1" applyFill="1" applyBorder="1" applyAlignment="1">
      <alignment horizontal="center" wrapText="1"/>
    </xf>
    <xf numFmtId="3" fontId="28" fillId="0" borderId="11" xfId="211" applyNumberFormat="1" applyFont="1" applyFill="1" applyBorder="1" applyAlignment="1">
      <alignment horizontal="center" wrapText="1"/>
    </xf>
    <xf numFmtId="0" fontId="13" fillId="0" borderId="33" xfId="248" applyFont="1" applyFill="1" applyBorder="1" applyAlignment="1">
      <alignment horizontal="center" wrapText="1"/>
    </xf>
    <xf numFmtId="0" fontId="16" fillId="0" borderId="0" xfId="0" applyFont="1" applyAlignment="1">
      <alignment wrapText="1"/>
    </xf>
    <xf numFmtId="0" fontId="13" fillId="0" borderId="38" xfId="262" applyFont="1" applyBorder="1" applyAlignment="1">
      <alignment horizontal="center" wrapText="1"/>
    </xf>
    <xf numFmtId="0" fontId="16" fillId="0" borderId="36" xfId="0" applyNumberFormat="1" applyFont="1" applyBorder="1" applyAlignment="1">
      <alignment horizontal="center" wrapText="1"/>
    </xf>
    <xf numFmtId="0" fontId="13" fillId="0" borderId="0" xfId="262" applyFont="1" applyAlignment="1">
      <alignment horizontal="centerContinuous"/>
    </xf>
    <xf numFmtId="0" fontId="16" fillId="0" borderId="0" xfId="189" applyFont="1"/>
    <xf numFmtId="0" fontId="13" fillId="0" borderId="0" xfId="262" applyFont="1" applyAlignment="1">
      <alignment horizontal="center"/>
    </xf>
    <xf numFmtId="0" fontId="16" fillId="0" borderId="0" xfId="262" applyFont="1" applyFill="1" applyAlignment="1">
      <alignment horizontal="left"/>
    </xf>
    <xf numFmtId="0" fontId="16" fillId="0" borderId="0" xfId="0" applyFont="1" applyAlignment="1">
      <alignment horizontal="right"/>
    </xf>
    <xf numFmtId="0" fontId="16" fillId="0" borderId="0" xfId="211" applyFont="1" applyFill="1" applyBorder="1" applyAlignment="1">
      <alignment horizontal="left"/>
    </xf>
    <xf numFmtId="0" fontId="21" fillId="0" borderId="0" xfId="211" applyFont="1" applyBorder="1" applyAlignment="1">
      <alignment horizontal="center" vertical="center"/>
    </xf>
    <xf numFmtId="0" fontId="21" fillId="0" borderId="0" xfId="249" applyFont="1" applyAlignment="1">
      <alignment horizontal="center" vertical="center" wrapText="1"/>
    </xf>
    <xf numFmtId="0" fontId="21" fillId="0" borderId="0" xfId="211" quotePrefix="1" applyFont="1" applyBorder="1" applyAlignment="1">
      <alignment horizontal="center" vertical="center" wrapText="1"/>
    </xf>
    <xf numFmtId="0" fontId="21" fillId="0" borderId="0" xfId="211" applyFont="1" applyFill="1" applyBorder="1" applyAlignment="1">
      <alignment horizontal="left" vertical="center"/>
    </xf>
    <xf numFmtId="0" fontId="16" fillId="0" borderId="0" xfId="0" applyFont="1" applyFill="1" applyAlignment="1"/>
    <xf numFmtId="0" fontId="16" fillId="0" borderId="0" xfId="0" applyFont="1" applyFill="1" applyAlignment="1">
      <alignment horizontal="center"/>
    </xf>
    <xf numFmtId="0" fontId="16" fillId="0" borderId="0" xfId="0" applyFont="1" applyFill="1" applyBorder="1" applyAlignment="1">
      <alignment horizontal="center"/>
    </xf>
    <xf numFmtId="0" fontId="0" fillId="0" borderId="0" xfId="0" applyFill="1" applyAlignment="1">
      <alignment horizontal="center"/>
    </xf>
    <xf numFmtId="173" fontId="0" fillId="0" borderId="11" xfId="86" applyNumberFormat="1" applyFont="1" applyFill="1" applyBorder="1"/>
    <xf numFmtId="173" fontId="67" fillId="0" borderId="0" xfId="86" applyNumberFormat="1" applyFont="1" applyFill="1" applyAlignment="1" applyProtection="1">
      <alignment horizontal="left"/>
      <protection locked="0"/>
    </xf>
    <xf numFmtId="173" fontId="67" fillId="0" borderId="11" xfId="86" applyNumberFormat="1" applyFont="1" applyFill="1" applyBorder="1" applyAlignment="1" applyProtection="1">
      <alignment horizontal="left"/>
      <protection locked="0"/>
    </xf>
    <xf numFmtId="0" fontId="19" fillId="0" borderId="0" xfId="0" applyFont="1" applyAlignment="1"/>
    <xf numFmtId="0" fontId="19" fillId="0" borderId="0" xfId="0" applyNumberFormat="1" applyFont="1" applyAlignment="1">
      <alignment horizontal="center"/>
    </xf>
    <xf numFmtId="0" fontId="19" fillId="0" borderId="0" xfId="0" applyFont="1" applyAlignment="1">
      <alignment horizontal="right"/>
    </xf>
    <xf numFmtId="0" fontId="99" fillId="0" borderId="0" xfId="262" applyFont="1" applyAlignment="1">
      <alignment horizontal="centerContinuous"/>
    </xf>
    <xf numFmtId="0" fontId="19" fillId="0" borderId="0" xfId="262" applyFont="1" applyFill="1" applyAlignment="1">
      <alignment horizontal="left"/>
    </xf>
    <xf numFmtId="0" fontId="99" fillId="0" borderId="0" xfId="262" applyFont="1" applyAlignment="1">
      <alignment horizontal="center"/>
    </xf>
    <xf numFmtId="0" fontId="13" fillId="0" borderId="41" xfId="262" applyFont="1" applyBorder="1" applyAlignment="1">
      <alignment horizontal="center" wrapText="1"/>
    </xf>
    <xf numFmtId="0" fontId="19" fillId="0" borderId="0" xfId="0" applyFont="1" applyAlignment="1">
      <alignment wrapText="1"/>
    </xf>
    <xf numFmtId="0" fontId="13" fillId="0" borderId="10" xfId="262" applyFont="1" applyBorder="1" applyAlignment="1">
      <alignment horizontal="center"/>
    </xf>
    <xf numFmtId="0" fontId="136" fillId="0" borderId="0" xfId="0" applyFont="1" applyAlignment="1"/>
    <xf numFmtId="3" fontId="28" fillId="0" borderId="35" xfId="211" applyNumberFormat="1" applyFont="1" applyFill="1" applyBorder="1" applyAlignment="1">
      <alignment horizontal="center" wrapText="1"/>
    </xf>
    <xf numFmtId="3" fontId="28" fillId="0" borderId="42" xfId="211" applyNumberFormat="1" applyFont="1" applyFill="1" applyBorder="1" applyAlignment="1">
      <alignment wrapText="1"/>
    </xf>
    <xf numFmtId="173" fontId="12" fillId="30" borderId="0" xfId="109" applyNumberFormat="1" applyFont="1" applyFill="1" applyAlignment="1" applyProtection="1">
      <protection locked="0"/>
    </xf>
    <xf numFmtId="41" fontId="16" fillId="0" borderId="10" xfId="262" applyNumberFormat="1" applyFont="1" applyFill="1" applyBorder="1"/>
    <xf numFmtId="173" fontId="16" fillId="0" borderId="43" xfId="88" applyNumberFormat="1" applyFont="1" applyBorder="1"/>
    <xf numFmtId="3" fontId="28" fillId="0" borderId="42" xfId="211" applyNumberFormat="1" applyFont="1" applyFill="1" applyBorder="1" applyAlignment="1">
      <alignment horizontal="center" wrapText="1"/>
    </xf>
    <xf numFmtId="0" fontId="19" fillId="0" borderId="0" xfId="262" applyFont="1"/>
    <xf numFmtId="37" fontId="19" fillId="0" borderId="0" xfId="262" applyNumberFormat="1" applyFont="1"/>
    <xf numFmtId="172" fontId="19" fillId="0" borderId="0" xfId="255" applyFont="1" applyAlignment="1"/>
    <xf numFmtId="0" fontId="16" fillId="0" borderId="0" xfId="251" applyFont="1" applyFill="1" applyAlignment="1" applyProtection="1">
      <alignment vertical="top"/>
    </xf>
    <xf numFmtId="0" fontId="136" fillId="0" borderId="0" xfId="0" applyNumberFormat="1" applyFont="1" applyAlignment="1">
      <alignment horizontal="center"/>
    </xf>
    <xf numFmtId="0" fontId="98" fillId="0" borderId="0" xfId="252" applyFont="1" applyFill="1" applyProtection="1"/>
    <xf numFmtId="0" fontId="99" fillId="0" borderId="0" xfId="0" applyFont="1" applyAlignment="1">
      <alignment horizontal="center"/>
    </xf>
    <xf numFmtId="0" fontId="99" fillId="0" borderId="0" xfId="0" quotePrefix="1" applyFont="1" applyAlignment="1">
      <alignment horizontal="center"/>
    </xf>
    <xf numFmtId="0" fontId="13" fillId="0" borderId="0" xfId="252" applyFont="1" applyFill="1" applyAlignment="1" applyProtection="1">
      <alignment horizontal="left"/>
    </xf>
    <xf numFmtId="173" fontId="16" fillId="0" borderId="0" xfId="88" applyNumberFormat="1" applyFont="1" applyFill="1" applyProtection="1"/>
    <xf numFmtId="0" fontId="16" fillId="0" borderId="0" xfId="252" applyFont="1" applyFill="1" applyProtection="1"/>
    <xf numFmtId="0" fontId="16" fillId="0" borderId="0" xfId="183"/>
    <xf numFmtId="0" fontId="16" fillId="0" borderId="0" xfId="252" applyFont="1" applyFill="1" applyAlignment="1" applyProtection="1">
      <alignment horizontal="left"/>
    </xf>
    <xf numFmtId="173" fontId="12" fillId="32" borderId="0" xfId="88" applyNumberFormat="1" applyFont="1" applyFill="1" applyProtection="1">
      <protection locked="0"/>
    </xf>
    <xf numFmtId="0" fontId="16" fillId="0" borderId="0" xfId="251" applyFont="1" applyFill="1" applyAlignment="1" applyProtection="1">
      <alignment horizontal="left"/>
    </xf>
    <xf numFmtId="173" fontId="12" fillId="0" borderId="0" xfId="88" applyNumberFormat="1" applyFont="1" applyFill="1" applyProtection="1">
      <protection locked="0"/>
    </xf>
    <xf numFmtId="0" fontId="16" fillId="0" borderId="0" xfId="183" applyProtection="1"/>
    <xf numFmtId="10" fontId="16" fillId="0" borderId="0" xfId="269" applyNumberFormat="1" applyFont="1" applyFill="1" applyBorder="1" applyProtection="1"/>
    <xf numFmtId="173" fontId="12" fillId="30" borderId="6" xfId="88" applyNumberFormat="1" applyFont="1" applyFill="1" applyBorder="1" applyAlignment="1" applyProtection="1">
      <protection locked="0"/>
    </xf>
    <xf numFmtId="10" fontId="13" fillId="0" borderId="0" xfId="269" applyNumberFormat="1" applyFont="1" applyFill="1" applyBorder="1" applyProtection="1"/>
    <xf numFmtId="0" fontId="13" fillId="0" borderId="0" xfId="252" applyFont="1" applyFill="1" applyProtection="1"/>
    <xf numFmtId="173" fontId="16" fillId="0" borderId="0" xfId="269" applyNumberFormat="1" applyFont="1" applyFill="1" applyBorder="1" applyProtection="1"/>
    <xf numFmtId="10" fontId="13" fillId="0" borderId="44" xfId="269" applyNumberFormat="1" applyFont="1" applyFill="1" applyBorder="1" applyProtection="1"/>
    <xf numFmtId="0" fontId="108" fillId="0" borderId="0" xfId="183" applyFont="1" applyAlignment="1" applyProtection="1">
      <alignment horizontal="center"/>
    </xf>
    <xf numFmtId="0" fontId="19" fillId="0" borderId="0" xfId="252" applyFont="1" applyFill="1" applyProtection="1"/>
    <xf numFmtId="0" fontId="19" fillId="0" borderId="0" xfId="252" applyFont="1" applyProtection="1"/>
    <xf numFmtId="41" fontId="13" fillId="0" borderId="0" xfId="252" applyNumberFormat="1" applyFont="1" applyFill="1" applyBorder="1" applyAlignment="1" applyProtection="1">
      <alignment horizontal="center" wrapText="1"/>
    </xf>
    <xf numFmtId="0" fontId="13" fillId="0" borderId="0" xfId="252" applyFont="1" applyFill="1" applyAlignment="1" applyProtection="1">
      <alignment horizontal="center" wrapText="1"/>
    </xf>
    <xf numFmtId="0" fontId="12" fillId="32" borderId="0" xfId="252" applyFont="1" applyFill="1" applyProtection="1">
      <protection locked="0"/>
    </xf>
    <xf numFmtId="173" fontId="19" fillId="0" borderId="0" xfId="252" applyNumberFormat="1" applyFont="1" applyFill="1" applyProtection="1"/>
    <xf numFmtId="196" fontId="12" fillId="32" borderId="0" xfId="252" applyNumberFormat="1" applyFont="1" applyFill="1" applyProtection="1">
      <protection locked="0"/>
    </xf>
    <xf numFmtId="37" fontId="12" fillId="32" borderId="0" xfId="252" applyNumberFormat="1" applyFont="1" applyFill="1" applyProtection="1">
      <protection locked="0"/>
    </xf>
    <xf numFmtId="173" fontId="12" fillId="32" borderId="0" xfId="252" applyNumberFormat="1" applyFont="1" applyFill="1" applyProtection="1">
      <protection locked="0"/>
    </xf>
    <xf numFmtId="0" fontId="88" fillId="32" borderId="0" xfId="252" applyFont="1" applyFill="1" applyProtection="1">
      <protection locked="0"/>
    </xf>
    <xf numFmtId="0" fontId="16" fillId="0" borderId="11" xfId="0" applyFont="1" applyBorder="1" applyProtection="1"/>
    <xf numFmtId="0" fontId="19" fillId="0" borderId="11" xfId="252" applyFont="1" applyFill="1" applyBorder="1" applyProtection="1"/>
    <xf numFmtId="0" fontId="16" fillId="31" borderId="0" xfId="252" applyFont="1" applyFill="1" applyAlignment="1" applyProtection="1">
      <alignment horizontal="left"/>
    </xf>
    <xf numFmtId="41" fontId="16" fillId="0" borderId="0" xfId="269" applyNumberFormat="1" applyFont="1" applyFill="1" applyBorder="1" applyProtection="1"/>
    <xf numFmtId="173" fontId="19" fillId="0" borderId="0" xfId="252" applyNumberFormat="1" applyFont="1" applyProtection="1"/>
    <xf numFmtId="185" fontId="16" fillId="0" borderId="0" xfId="88" applyNumberFormat="1" applyFont="1" applyFill="1" applyBorder="1" applyProtection="1"/>
    <xf numFmtId="10" fontId="19" fillId="0" borderId="0" xfId="269" applyNumberFormat="1" applyFont="1" applyFill="1" applyProtection="1"/>
    <xf numFmtId="173" fontId="16" fillId="0" borderId="0" xfId="88" applyNumberFormat="1" applyFont="1" applyFill="1" applyBorder="1" applyProtection="1"/>
    <xf numFmtId="173" fontId="13" fillId="0" borderId="44" xfId="88" applyNumberFormat="1" applyFont="1" applyFill="1" applyBorder="1" applyProtection="1"/>
    <xf numFmtId="0" fontId="98" fillId="0" borderId="0" xfId="252" applyFont="1" applyFill="1" applyAlignment="1" applyProtection="1">
      <alignment horizontal="left"/>
    </xf>
    <xf numFmtId="0" fontId="19" fillId="0" borderId="0" xfId="252" applyFont="1" applyFill="1" applyAlignment="1" applyProtection="1">
      <alignment horizontal="left"/>
    </xf>
    <xf numFmtId="0" fontId="21" fillId="0" borderId="0" xfId="252" applyFont="1" applyFill="1" applyAlignment="1" applyProtection="1">
      <alignment horizontal="left"/>
    </xf>
    <xf numFmtId="0" fontId="21" fillId="0" borderId="0" xfId="252" applyFont="1" applyFill="1" applyAlignment="1" applyProtection="1">
      <alignment horizontal="center" wrapText="1"/>
    </xf>
    <xf numFmtId="0" fontId="16" fillId="0" borderId="0" xfId="252" applyFill="1" applyProtection="1"/>
    <xf numFmtId="164" fontId="12" fillId="32" borderId="0" xfId="269" applyNumberFormat="1" applyFont="1" applyFill="1" applyAlignment="1" applyProtection="1">
      <alignment horizontal="right" wrapText="1"/>
      <protection locked="0"/>
    </xf>
    <xf numFmtId="44" fontId="12" fillId="32" borderId="0" xfId="118" applyFont="1" applyFill="1" applyAlignment="1" applyProtection="1">
      <alignment horizontal="right" wrapText="1"/>
      <protection locked="0"/>
    </xf>
    <xf numFmtId="41" fontId="12" fillId="0" borderId="0" xfId="252" applyNumberFormat="1" applyFont="1" applyFill="1" applyBorder="1" applyProtection="1"/>
    <xf numFmtId="173" fontId="16" fillId="0" borderId="0" xfId="88" applyNumberFormat="1" applyFill="1" applyProtection="1"/>
    <xf numFmtId="41" fontId="16" fillId="0" borderId="0" xfId="0" applyNumberFormat="1" applyFont="1" applyFill="1" applyProtection="1"/>
    <xf numFmtId="41" fontId="16" fillId="0" borderId="0" xfId="252" applyNumberFormat="1" applyFill="1" applyBorder="1" applyProtection="1"/>
    <xf numFmtId="41" fontId="99" fillId="0" borderId="0" xfId="252" applyNumberFormat="1" applyFont="1" applyFill="1" applyProtection="1"/>
    <xf numFmtId="41" fontId="16" fillId="0" borderId="12" xfId="252" applyNumberFormat="1" applyFont="1" applyFill="1" applyBorder="1" applyProtection="1"/>
    <xf numFmtId="41" fontId="13" fillId="0" borderId="41" xfId="252" applyNumberFormat="1" applyFont="1" applyFill="1" applyBorder="1" applyProtection="1"/>
    <xf numFmtId="0" fontId="13" fillId="0" borderId="0" xfId="252" applyFont="1" applyFill="1" applyBorder="1" applyProtection="1"/>
    <xf numFmtId="0" fontId="13" fillId="0" borderId="0" xfId="0" applyFont="1" applyFill="1" applyAlignment="1">
      <alignment horizontal="left"/>
    </xf>
    <xf numFmtId="3" fontId="0" fillId="0" borderId="0" xfId="0" applyNumberFormat="1" applyFont="1" applyFill="1" applyAlignment="1"/>
    <xf numFmtId="0" fontId="0" fillId="0" borderId="0" xfId="0" applyFont="1" applyFill="1" applyAlignment="1"/>
    <xf numFmtId="3" fontId="0" fillId="0" borderId="0" xfId="0" applyNumberFormat="1" applyFill="1" applyAlignment="1"/>
    <xf numFmtId="0" fontId="17" fillId="0" borderId="0" xfId="0" applyFont="1" applyFill="1" applyAlignment="1">
      <alignment horizontal="center"/>
    </xf>
    <xf numFmtId="3" fontId="0" fillId="0" borderId="0" xfId="0" applyNumberFormat="1" applyFont="1" applyFill="1" applyAlignment="1">
      <alignment horizontal="centerContinuous"/>
    </xf>
    <xf numFmtId="3" fontId="17" fillId="0" borderId="0" xfId="0" applyNumberFormat="1" applyFont="1" applyFill="1" applyAlignment="1">
      <alignment horizontal="centerContinuous"/>
    </xf>
    <xf numFmtId="3" fontId="0" fillId="0" borderId="0" xfId="0" applyNumberFormat="1" applyFill="1" applyAlignment="1">
      <alignment horizontal="centerContinuous"/>
    </xf>
    <xf numFmtId="3" fontId="16" fillId="0" borderId="0" xfId="0" applyNumberFormat="1" applyFont="1" applyFill="1" applyAlignment="1">
      <alignment horizontal="centerContinuous"/>
    </xf>
    <xf numFmtId="3" fontId="0" fillId="0" borderId="45" xfId="0" applyNumberFormat="1" applyFont="1" applyFill="1" applyBorder="1" applyAlignment="1"/>
    <xf numFmtId="3" fontId="0" fillId="0" borderId="0" xfId="0" applyNumberFormat="1" applyFont="1" applyFill="1" applyAlignment="1">
      <alignment horizontal="left"/>
    </xf>
    <xf numFmtId="37" fontId="0" fillId="0" borderId="0" xfId="0" applyNumberFormat="1" applyFont="1" applyFill="1" applyAlignment="1"/>
    <xf numFmtId="37" fontId="0" fillId="0" borderId="0" xfId="0" applyNumberFormat="1" applyFont="1" applyFill="1" applyAlignment="1">
      <alignment horizontal="center"/>
    </xf>
    <xf numFmtId="37" fontId="0" fillId="0" borderId="45" xfId="0" applyNumberFormat="1" applyFont="1" applyFill="1" applyBorder="1" applyAlignment="1"/>
    <xf numFmtId="37" fontId="0" fillId="0" borderId="46" xfId="0" applyNumberFormat="1" applyFont="1" applyFill="1" applyBorder="1" applyAlignment="1"/>
    <xf numFmtId="37" fontId="0" fillId="33" borderId="0" xfId="0" applyNumberFormat="1" applyFont="1" applyFill="1" applyAlignment="1"/>
    <xf numFmtId="37" fontId="0" fillId="0" borderId="0" xfId="0" applyNumberFormat="1" applyFill="1" applyAlignment="1"/>
    <xf numFmtId="37" fontId="16" fillId="0" borderId="0" xfId="0" applyNumberFormat="1" applyFont="1" applyFill="1" applyAlignment="1"/>
    <xf numFmtId="37" fontId="16" fillId="0" borderId="0" xfId="0" applyNumberFormat="1" applyFont="1" applyFill="1"/>
    <xf numFmtId="3" fontId="0" fillId="0" borderId="0" xfId="0" applyNumberFormat="1" applyFont="1" applyFill="1" applyAlignment="1" applyProtection="1">
      <alignment horizontal="center"/>
      <protection locked="0"/>
    </xf>
    <xf numFmtId="3" fontId="0" fillId="0" borderId="0" xfId="0" applyNumberFormat="1" applyFont="1" applyFill="1" applyAlignment="1">
      <alignment horizontal="center"/>
    </xf>
    <xf numFmtId="3" fontId="0" fillId="0" borderId="0" xfId="0" applyNumberFormat="1" applyFont="1" applyAlignment="1" applyProtection="1">
      <protection locked="0"/>
    </xf>
    <xf numFmtId="3" fontId="0" fillId="0" borderId="0" xfId="0" applyNumberFormat="1" applyFont="1" applyAlignment="1"/>
    <xf numFmtId="0" fontId="0" fillId="0" borderId="0" xfId="0" applyFont="1" applyAlignment="1"/>
    <xf numFmtId="0" fontId="17" fillId="0" borderId="0" xfId="0" applyFont="1" applyAlignment="1">
      <alignment horizontal="center"/>
    </xf>
    <xf numFmtId="3" fontId="0" fillId="0" borderId="0" xfId="0" applyNumberFormat="1" applyFont="1" applyAlignment="1">
      <alignment horizontal="centerContinuous"/>
    </xf>
    <xf numFmtId="3" fontId="17" fillId="0" borderId="0" xfId="0" applyNumberFormat="1" applyFont="1" applyAlignment="1">
      <alignment horizontal="centerContinuous"/>
    </xf>
    <xf numFmtId="0" fontId="0" fillId="0" borderId="0" xfId="0" applyFont="1" applyAlignment="1">
      <alignment horizontal="center"/>
    </xf>
    <xf numFmtId="3" fontId="0" fillId="0" borderId="0" xfId="0" applyNumberFormat="1" applyAlignment="1">
      <alignment horizontal="centerContinuous"/>
    </xf>
    <xf numFmtId="3" fontId="0" fillId="0" borderId="45" xfId="0" applyNumberFormat="1" applyFont="1" applyBorder="1" applyAlignment="1"/>
    <xf numFmtId="0" fontId="0" fillId="0" borderId="0" xfId="0" applyFont="1" applyFill="1" applyAlignment="1">
      <alignment horizontal="left"/>
    </xf>
    <xf numFmtId="37" fontId="0" fillId="0" borderId="14" xfId="0" applyNumberFormat="1" applyFont="1" applyFill="1" applyBorder="1" applyAlignment="1"/>
    <xf numFmtId="37" fontId="0" fillId="0" borderId="0" xfId="0" applyNumberFormat="1"/>
    <xf numFmtId="37" fontId="162" fillId="0" borderId="46" xfId="0" applyNumberFormat="1" applyFont="1" applyFill="1" applyBorder="1" applyAlignment="1"/>
    <xf numFmtId="37" fontId="162" fillId="0" borderId="0" xfId="0" applyNumberFormat="1" applyFont="1" applyFill="1" applyAlignment="1"/>
    <xf numFmtId="186" fontId="16" fillId="0" borderId="0" xfId="249" applyNumberFormat="1" applyFont="1" applyFill="1"/>
    <xf numFmtId="3" fontId="16" fillId="0" borderId="0" xfId="0" applyNumberFormat="1" applyFont="1" applyFill="1" applyAlignment="1">
      <alignment horizontal="center"/>
    </xf>
    <xf numFmtId="4" fontId="16" fillId="0" borderId="0" xfId="0" applyNumberFormat="1" applyFont="1" applyFill="1" applyAlignment="1">
      <alignment horizontal="center"/>
    </xf>
    <xf numFmtId="0" fontId="163" fillId="0" borderId="0" xfId="259" applyNumberFormat="1" applyFont="1" applyFill="1" applyAlignment="1" applyProtection="1">
      <alignment horizontal="center"/>
    </xf>
    <xf numFmtId="172" fontId="164" fillId="0" borderId="0" xfId="259" applyFont="1" applyFill="1" applyAlignment="1" applyProtection="1"/>
    <xf numFmtId="198" fontId="12" fillId="32" borderId="0" xfId="249" applyNumberFormat="1" applyFont="1" applyFill="1" applyProtection="1">
      <protection locked="0"/>
    </xf>
    <xf numFmtId="0" fontId="165" fillId="0" borderId="0" xfId="0" applyFont="1" applyFill="1" applyAlignment="1">
      <alignment horizontal="left"/>
    </xf>
    <xf numFmtId="10" fontId="75" fillId="32" borderId="0" xfId="268" applyNumberFormat="1" applyFont="1" applyFill="1" applyAlignment="1" applyProtection="1">
      <alignment horizontal="center"/>
      <protection locked="0"/>
    </xf>
    <xf numFmtId="10" fontId="75" fillId="32" borderId="0" xfId="260" applyNumberFormat="1" applyFont="1" applyFill="1" applyAlignment="1" applyProtection="1">
      <alignment horizontal="center"/>
      <protection locked="0"/>
    </xf>
    <xf numFmtId="173" fontId="22" fillId="0" borderId="0" xfId="260" applyNumberFormat="1" applyFont="1"/>
    <xf numFmtId="0" fontId="22" fillId="0" borderId="0" xfId="260" applyNumberFormat="1" applyFont="1" applyAlignment="1">
      <alignment horizontal="center" vertical="center"/>
    </xf>
    <xf numFmtId="0" fontId="22" fillId="0" borderId="0" xfId="260" applyNumberFormat="1" applyFont="1" applyAlignment="1">
      <alignment vertical="center"/>
    </xf>
    <xf numFmtId="0" fontId="75" fillId="0" borderId="0" xfId="260" applyFont="1" applyFill="1" applyAlignment="1">
      <alignment horizontal="center"/>
    </xf>
    <xf numFmtId="0" fontId="166" fillId="0" borderId="0" xfId="260" applyFont="1" applyFill="1" applyAlignment="1">
      <alignment horizontal="right"/>
    </xf>
    <xf numFmtId="173" fontId="166" fillId="0" borderId="0" xfId="260" applyNumberFormat="1" applyFont="1" applyFill="1"/>
    <xf numFmtId="0" fontId="22" fillId="0" borderId="0" xfId="260" applyFont="1" applyAlignment="1">
      <alignment horizontal="left" indent="2"/>
    </xf>
    <xf numFmtId="173" fontId="167" fillId="0" borderId="0" xfId="260" applyNumberFormat="1" applyFont="1" applyBorder="1"/>
    <xf numFmtId="173" fontId="167" fillId="0" borderId="0" xfId="260" applyNumberFormat="1" applyFont="1"/>
    <xf numFmtId="0" fontId="141" fillId="0" borderId="0" xfId="260" applyNumberFormat="1" applyFont="1" applyAlignment="1">
      <alignment horizontal="center"/>
    </xf>
    <xf numFmtId="0" fontId="141" fillId="0" borderId="0" xfId="260" applyNumberFormat="1" applyFont="1"/>
    <xf numFmtId="0" fontId="142" fillId="0" borderId="0" xfId="260" applyFont="1"/>
    <xf numFmtId="0" fontId="141" fillId="0" borderId="0" xfId="260" applyFont="1" applyFill="1" applyBorder="1"/>
    <xf numFmtId="0" fontId="141" fillId="0" borderId="0" xfId="260" applyFont="1"/>
    <xf numFmtId="173" fontId="141" fillId="0" borderId="0" xfId="260" applyNumberFormat="1" applyFont="1" applyBorder="1"/>
    <xf numFmtId="173" fontId="141" fillId="0" borderId="0" xfId="260" applyNumberFormat="1" applyFont="1" applyFill="1" applyBorder="1"/>
    <xf numFmtId="0" fontId="9" fillId="0" borderId="0" xfId="259" applyNumberFormat="1" applyFont="1" applyFill="1" applyAlignment="1" applyProtection="1">
      <alignment horizontal="left" wrapText="1"/>
    </xf>
    <xf numFmtId="0" fontId="168" fillId="0" borderId="11" xfId="260" applyNumberFormat="1" applyFont="1" applyFill="1" applyBorder="1" applyAlignment="1">
      <alignment horizontal="center"/>
    </xf>
    <xf numFmtId="0" fontId="168" fillId="0" borderId="2" xfId="260" applyNumberFormat="1" applyFont="1" applyFill="1" applyBorder="1" applyAlignment="1">
      <alignment horizontal="center"/>
    </xf>
    <xf numFmtId="0" fontId="78" fillId="0" borderId="0" xfId="260" applyFont="1" applyFill="1" applyAlignment="1">
      <alignment horizontal="center" vertical="center"/>
    </xf>
    <xf numFmtId="0" fontId="22" fillId="0" borderId="11" xfId="260" applyNumberFormat="1" applyFont="1" applyBorder="1" applyAlignment="1">
      <alignment horizontal="center"/>
    </xf>
    <xf numFmtId="0" fontId="22" fillId="0" borderId="11" xfId="260" applyNumberFormat="1" applyFont="1" applyBorder="1"/>
    <xf numFmtId="0" fontId="22" fillId="0" borderId="11" xfId="260" applyFont="1" applyBorder="1"/>
    <xf numFmtId="173" fontId="81" fillId="0" borderId="11" xfId="260" applyNumberFormat="1" applyFont="1" applyFill="1" applyBorder="1" applyProtection="1">
      <protection locked="0"/>
    </xf>
    <xf numFmtId="173" fontId="75" fillId="0" borderId="11" xfId="260" applyNumberFormat="1" applyFont="1" applyFill="1" applyBorder="1"/>
    <xf numFmtId="0" fontId="75" fillId="0" borderId="11" xfId="260" applyFont="1" applyFill="1" applyBorder="1" applyAlignment="1" applyProtection="1">
      <alignment horizontal="center"/>
      <protection locked="0"/>
    </xf>
    <xf numFmtId="173" fontId="75" fillId="0" borderId="11" xfId="86" applyNumberFormat="1" applyFont="1" applyFill="1" applyBorder="1" applyAlignment="1" applyProtection="1">
      <alignment horizontal="center"/>
      <protection locked="0"/>
    </xf>
    <xf numFmtId="0" fontId="143" fillId="0" borderId="0" xfId="259" applyNumberFormat="1" applyFont="1" applyFill="1" applyAlignment="1" applyProtection="1">
      <alignment horizontal="center"/>
    </xf>
    <xf numFmtId="172" fontId="163" fillId="0" borderId="0" xfId="259" applyFont="1" applyFill="1" applyAlignment="1" applyProtection="1"/>
    <xf numFmtId="0" fontId="12" fillId="32" borderId="0" xfId="89" applyNumberFormat="1" applyFont="1" applyFill="1" applyBorder="1" applyAlignment="1" applyProtection="1">
      <alignment horizontal="center"/>
      <protection locked="0"/>
    </xf>
    <xf numFmtId="41" fontId="12" fillId="32" borderId="0" xfId="251" applyNumberFormat="1" applyFont="1" applyFill="1"/>
    <xf numFmtId="172" fontId="10" fillId="0" borderId="0" xfId="259" applyFont="1" applyFill="1" applyAlignment="1" applyProtection="1">
      <alignment horizontal="center"/>
    </xf>
    <xf numFmtId="3" fontId="10" fillId="0" borderId="0" xfId="259" applyNumberFormat="1" applyFont="1" applyFill="1" applyAlignment="1" applyProtection="1">
      <alignment horizontal="center" vertical="center"/>
    </xf>
    <xf numFmtId="0" fontId="7" fillId="0" borderId="0" xfId="259" applyNumberFormat="1" applyFont="1" applyFill="1" applyBorder="1" applyAlignment="1" applyProtection="1">
      <alignment horizontal="center"/>
    </xf>
    <xf numFmtId="3" fontId="18" fillId="0" borderId="0" xfId="259" applyNumberFormat="1" applyFont="1" applyFill="1" applyAlignment="1" applyProtection="1">
      <alignment horizontal="center"/>
    </xf>
    <xf numFmtId="0" fontId="7" fillId="0" borderId="6" xfId="259" applyNumberFormat="1" applyFont="1" applyFill="1" applyBorder="1" applyAlignment="1" applyProtection="1">
      <alignment horizontal="center"/>
    </xf>
    <xf numFmtId="0" fontId="9" fillId="0" borderId="0" xfId="259" applyNumberFormat="1" applyFont="1" applyFill="1" applyBorder="1" applyAlignment="1" applyProtection="1">
      <alignment vertical="center"/>
    </xf>
    <xf numFmtId="41" fontId="9" fillId="0" borderId="40" xfId="259" applyNumberFormat="1" applyFont="1" applyFill="1" applyBorder="1" applyAlignment="1" applyProtection="1"/>
    <xf numFmtId="0" fontId="16" fillId="0" borderId="0" xfId="0" applyFont="1" applyFill="1" applyAlignment="1" applyProtection="1">
      <alignment horizontal="center"/>
    </xf>
    <xf numFmtId="0" fontId="16" fillId="0" borderId="0" xfId="0" applyFont="1" applyFill="1" applyAlignment="1" applyProtection="1">
      <alignment horizontal="center" wrapText="1"/>
    </xf>
    <xf numFmtId="0" fontId="9" fillId="0" borderId="0" xfId="0" applyFont="1" applyFill="1" applyAlignment="1" applyProtection="1">
      <alignment horizontal="center"/>
    </xf>
    <xf numFmtId="0" fontId="67" fillId="0" borderId="0" xfId="0" applyFont="1" applyFill="1" applyProtection="1"/>
    <xf numFmtId="3" fontId="13" fillId="0" borderId="0" xfId="0" applyNumberFormat="1" applyFont="1" applyFill="1" applyAlignment="1">
      <alignment horizontal="left"/>
    </xf>
    <xf numFmtId="3" fontId="16" fillId="0" borderId="0" xfId="0" applyNumberFormat="1" applyFont="1" applyFill="1" applyAlignment="1"/>
    <xf numFmtId="37" fontId="16" fillId="0" borderId="0" xfId="0" applyNumberFormat="1" applyFont="1"/>
    <xf numFmtId="0" fontId="16" fillId="0" borderId="0" xfId="0" applyFont="1" applyFill="1" applyAlignment="1" applyProtection="1">
      <alignment horizontal="left"/>
    </xf>
    <xf numFmtId="0" fontId="17" fillId="0" borderId="0" xfId="0" applyFont="1" applyFill="1" applyAlignment="1" applyProtection="1">
      <alignment horizontal="left"/>
    </xf>
    <xf numFmtId="0" fontId="16" fillId="0" borderId="0" xfId="0" applyFont="1" applyFill="1" applyAlignment="1" applyProtection="1">
      <alignment vertical="top"/>
    </xf>
    <xf numFmtId="0" fontId="16" fillId="0" borderId="0" xfId="0" applyFont="1" applyFill="1" applyAlignment="1" applyProtection="1">
      <alignment vertical="top" wrapText="1"/>
    </xf>
    <xf numFmtId="0" fontId="111" fillId="0" borderId="0" xfId="0" applyFont="1" applyFill="1" applyAlignment="1" applyProtection="1">
      <alignment horizontal="center"/>
    </xf>
    <xf numFmtId="0" fontId="16" fillId="0" borderId="0" xfId="263" applyFont="1" applyFill="1" applyAlignment="1" applyProtection="1">
      <alignment horizontal="center"/>
    </xf>
    <xf numFmtId="38" fontId="12" fillId="0" borderId="0" xfId="0" applyNumberFormat="1" applyFont="1" applyFill="1" applyBorder="1" applyProtection="1">
      <protection locked="0"/>
    </xf>
    <xf numFmtId="0" fontId="10" fillId="0" borderId="0" xfId="250" applyFont="1" applyFill="1" applyBorder="1"/>
    <xf numFmtId="0" fontId="77" fillId="0" borderId="0" xfId="260" applyFont="1" applyFill="1" applyAlignment="1">
      <alignment vertical="center" wrapText="1"/>
    </xf>
    <xf numFmtId="0" fontId="10" fillId="0" borderId="0" xfId="249" quotePrefix="1" applyFont="1" applyFill="1" applyBorder="1" applyAlignment="1">
      <alignment horizontal="center"/>
    </xf>
    <xf numFmtId="0" fontId="8" fillId="0" borderId="11" xfId="260" applyNumberFormat="1" applyFont="1" applyFill="1" applyBorder="1" applyAlignment="1">
      <alignment horizontal="center" wrapText="1"/>
    </xf>
    <xf numFmtId="0" fontId="8" fillId="0" borderId="11" xfId="260" applyNumberFormat="1" applyFont="1" applyFill="1" applyBorder="1" applyAlignment="1">
      <alignment horizontal="center" vertical="center"/>
    </xf>
    <xf numFmtId="184" fontId="8" fillId="0" borderId="11" xfId="260" applyNumberFormat="1" applyFont="1" applyFill="1" applyBorder="1" applyAlignment="1">
      <alignment horizontal="center" vertical="center" wrapText="1"/>
    </xf>
    <xf numFmtId="0" fontId="8" fillId="0" borderId="11" xfId="260" applyNumberFormat="1" applyFont="1" applyFill="1" applyBorder="1" applyAlignment="1">
      <alignment horizontal="center" vertical="center" wrapText="1"/>
    </xf>
    <xf numFmtId="184" fontId="8" fillId="0" borderId="11" xfId="260" applyNumberFormat="1" applyFont="1" applyFill="1" applyBorder="1" applyAlignment="1">
      <alignment horizontal="center" vertical="center"/>
    </xf>
    <xf numFmtId="0" fontId="16" fillId="0" borderId="0" xfId="0" applyFont="1" applyFill="1" applyAlignment="1">
      <alignment vertical="center"/>
    </xf>
    <xf numFmtId="173" fontId="8" fillId="0" borderId="11" xfId="260" applyNumberFormat="1" applyFont="1" applyFill="1" applyBorder="1" applyAlignment="1">
      <alignment vertical="center"/>
    </xf>
    <xf numFmtId="173" fontId="78" fillId="0" borderId="0" xfId="260" applyNumberFormat="1" applyFont="1" applyFill="1" applyBorder="1" applyAlignment="1">
      <alignment vertical="center"/>
    </xf>
    <xf numFmtId="0" fontId="8" fillId="0" borderId="0" xfId="260" applyFont="1" applyFill="1" applyAlignment="1">
      <alignment horizontal="right" vertical="center"/>
    </xf>
    <xf numFmtId="0" fontId="75" fillId="0" borderId="0" xfId="260" applyFont="1" applyFill="1" applyAlignment="1">
      <alignment wrapText="1"/>
    </xf>
    <xf numFmtId="0" fontId="16" fillId="0" borderId="0" xfId="253" applyFont="1" applyFill="1" applyAlignment="1" applyProtection="1">
      <alignment horizontal="left"/>
    </xf>
    <xf numFmtId="0" fontId="16" fillId="0" borderId="0" xfId="183" applyFont="1" applyFill="1" applyAlignment="1" applyProtection="1">
      <alignment wrapText="1"/>
    </xf>
    <xf numFmtId="0" fontId="16" fillId="0" borderId="0" xfId="183" applyFont="1" applyFill="1" applyProtection="1"/>
    <xf numFmtId="173" fontId="75" fillId="0" borderId="0" xfId="86" applyNumberFormat="1" applyFont="1" applyFill="1" applyAlignment="1" applyProtection="1">
      <alignment horizontal="center"/>
      <protection locked="0"/>
    </xf>
    <xf numFmtId="173" fontId="16" fillId="0" borderId="0" xfId="260" applyNumberFormat="1" applyFont="1" applyFill="1"/>
    <xf numFmtId="0" fontId="16" fillId="0" borderId="0" xfId="165"/>
    <xf numFmtId="0" fontId="114" fillId="0" borderId="0" xfId="261" applyFont="1" applyProtection="1">
      <protection locked="0"/>
    </xf>
    <xf numFmtId="0" fontId="80" fillId="0" borderId="0" xfId="261" applyFont="1"/>
    <xf numFmtId="0" fontId="115" fillId="0" borderId="0" xfId="261" applyFont="1" applyAlignment="1">
      <alignment horizontal="center"/>
    </xf>
    <xf numFmtId="0" fontId="116" fillId="0" borderId="0" xfId="261" applyFont="1" applyProtection="1">
      <protection locked="0"/>
    </xf>
    <xf numFmtId="176" fontId="115" fillId="0" borderId="0" xfId="261" applyNumberFormat="1" applyFont="1" applyAlignment="1">
      <alignment horizontal="center"/>
    </xf>
    <xf numFmtId="0" fontId="115" fillId="0" borderId="0" xfId="261" applyFont="1"/>
    <xf numFmtId="0" fontId="7" fillId="0" borderId="0" xfId="261"/>
    <xf numFmtId="176" fontId="7" fillId="0" borderId="0" xfId="261" applyNumberFormat="1"/>
    <xf numFmtId="0" fontId="117" fillId="0" borderId="0" xfId="261" applyFont="1" applyProtection="1">
      <protection locked="0"/>
    </xf>
    <xf numFmtId="176" fontId="114" fillId="0" borderId="0" xfId="261" applyNumberFormat="1" applyFont="1" applyProtection="1">
      <protection locked="0"/>
    </xf>
    <xf numFmtId="0" fontId="118" fillId="0" borderId="16" xfId="261" applyFont="1" applyBorder="1"/>
    <xf numFmtId="0" fontId="114" fillId="0" borderId="16" xfId="261" applyFont="1" applyBorder="1" applyProtection="1">
      <protection locked="0"/>
    </xf>
    <xf numFmtId="0" fontId="114" fillId="0" borderId="0" xfId="261" applyFont="1" applyBorder="1" applyProtection="1">
      <protection locked="0"/>
    </xf>
    <xf numFmtId="0" fontId="7" fillId="0" borderId="0" xfId="261" applyFont="1" applyBorder="1"/>
    <xf numFmtId="0" fontId="119" fillId="0" borderId="0" xfId="261" applyFont="1" applyProtection="1">
      <protection locked="0"/>
    </xf>
    <xf numFmtId="0" fontId="120" fillId="0" borderId="0" xfId="261" applyFont="1"/>
    <xf numFmtId="0" fontId="121" fillId="0" borderId="0" xfId="261" applyFont="1"/>
    <xf numFmtId="0" fontId="145" fillId="0" borderId="0" xfId="261" applyFont="1" applyAlignment="1">
      <alignment horizontal="center"/>
    </xf>
    <xf numFmtId="0" fontId="16" fillId="0" borderId="0" xfId="165" applyAlignment="1">
      <alignment wrapText="1"/>
    </xf>
    <xf numFmtId="10" fontId="7" fillId="0" borderId="0" xfId="261" applyNumberFormat="1" applyAlignment="1" applyProtection="1">
      <alignment horizontal="center"/>
    </xf>
    <xf numFmtId="0" fontId="118" fillId="0" borderId="0" xfId="261" applyFont="1" applyBorder="1"/>
    <xf numFmtId="0" fontId="7" fillId="0" borderId="0" xfId="261" applyAlignment="1">
      <alignment horizontal="center"/>
    </xf>
    <xf numFmtId="10" fontId="7" fillId="0" borderId="0" xfId="261" applyNumberFormat="1" applyAlignment="1" applyProtection="1">
      <alignment horizontal="right"/>
    </xf>
    <xf numFmtId="194" fontId="80" fillId="0" borderId="0" xfId="261" applyNumberFormat="1" applyFont="1" applyProtection="1"/>
    <xf numFmtId="10" fontId="80" fillId="0" borderId="0" xfId="261" applyNumberFormat="1" applyFont="1" applyProtection="1"/>
    <xf numFmtId="0" fontId="7" fillId="0" borderId="0" xfId="261" applyAlignment="1"/>
    <xf numFmtId="0" fontId="7" fillId="0" borderId="0" xfId="261" applyFont="1" applyFill="1" applyBorder="1"/>
    <xf numFmtId="194" fontId="7" fillId="0" borderId="0" xfId="261" applyNumberFormat="1" applyBorder="1" applyProtection="1"/>
    <xf numFmtId="0" fontId="118" fillId="0" borderId="30" xfId="261" applyFont="1" applyBorder="1"/>
    <xf numFmtId="0" fontId="114" fillId="0" borderId="30" xfId="261" applyFont="1" applyBorder="1" applyProtection="1">
      <protection locked="0"/>
    </xf>
    <xf numFmtId="10" fontId="7" fillId="0" borderId="30" xfId="261" applyNumberFormat="1" applyBorder="1" applyProtection="1"/>
    <xf numFmtId="0" fontId="10" fillId="0" borderId="0" xfId="0" applyFont="1" applyAlignment="1"/>
    <xf numFmtId="0" fontId="9" fillId="0" borderId="0" xfId="0" applyFont="1" applyAlignment="1">
      <alignment horizontal="left" indent="1"/>
    </xf>
    <xf numFmtId="10" fontId="9" fillId="0" borderId="0" xfId="214" applyNumberFormat="1" applyFont="1" applyFill="1" applyAlignment="1">
      <alignment horizontal="center"/>
    </xf>
    <xf numFmtId="0" fontId="10" fillId="0" borderId="0" xfId="183" applyFont="1" applyAlignment="1">
      <alignment horizontal="right"/>
    </xf>
    <xf numFmtId="10" fontId="9" fillId="0" borderId="0" xfId="214" applyNumberFormat="1" applyFont="1" applyFill="1" applyAlignment="1">
      <alignment horizontal="right"/>
    </xf>
    <xf numFmtId="177" fontId="9" fillId="0" borderId="0" xfId="86" applyNumberFormat="1" applyFont="1" applyAlignment="1">
      <alignment horizontal="center"/>
    </xf>
    <xf numFmtId="0" fontId="16" fillId="0" borderId="32" xfId="0" applyNumberFormat="1" applyFont="1" applyBorder="1" applyAlignment="1">
      <alignment horizontal="center"/>
    </xf>
    <xf numFmtId="0" fontId="16" fillId="0" borderId="31" xfId="262" applyFont="1" applyBorder="1" applyAlignment="1">
      <alignment horizontal="right"/>
    </xf>
    <xf numFmtId="0" fontId="147" fillId="0" borderId="0" xfId="0" applyFont="1" applyAlignment="1">
      <alignment vertical="center"/>
    </xf>
    <xf numFmtId="0" fontId="148" fillId="0" borderId="0" xfId="0" applyFont="1"/>
    <xf numFmtId="0" fontId="143" fillId="0" borderId="0" xfId="0" applyFont="1" applyAlignment="1"/>
    <xf numFmtId="0" fontId="143" fillId="0" borderId="0" xfId="0" applyFont="1" applyAlignment="1">
      <alignment horizontal="left"/>
    </xf>
    <xf numFmtId="0" fontId="143" fillId="0" borderId="0" xfId="211" applyFont="1" applyBorder="1" applyAlignment="1">
      <alignment horizontal="center"/>
    </xf>
    <xf numFmtId="0" fontId="148" fillId="0" borderId="0" xfId="0" applyFont="1" applyAlignment="1">
      <alignment horizontal="center"/>
    </xf>
    <xf numFmtId="0" fontId="149" fillId="0" borderId="0" xfId="211" applyFont="1" applyBorder="1" applyAlignment="1"/>
    <xf numFmtId="0" fontId="143" fillId="0" borderId="0" xfId="211" applyFont="1" applyBorder="1" applyAlignment="1">
      <alignment horizontal="left"/>
    </xf>
    <xf numFmtId="0" fontId="143" fillId="0" borderId="0" xfId="211" applyFont="1" applyBorder="1" applyAlignment="1"/>
    <xf numFmtId="3" fontId="143" fillId="0" borderId="0" xfId="0" applyNumberFormat="1" applyFont="1" applyAlignment="1"/>
    <xf numFmtId="3" fontId="143" fillId="0" borderId="0" xfId="0" applyNumberFormat="1" applyFont="1" applyAlignment="1">
      <alignment horizontal="left"/>
    </xf>
    <xf numFmtId="0" fontId="150" fillId="0" borderId="0" xfId="0" applyFont="1" applyAlignment="1">
      <alignment horizontal="center"/>
    </xf>
    <xf numFmtId="0" fontId="151" fillId="0" borderId="0" xfId="0" applyFont="1" applyAlignment="1"/>
    <xf numFmtId="0" fontId="150" fillId="0" borderId="0" xfId="0" applyFont="1" applyAlignment="1">
      <alignment wrapText="1"/>
    </xf>
    <xf numFmtId="0" fontId="150" fillId="0" borderId="0" xfId="0" applyFont="1"/>
    <xf numFmtId="41" fontId="148" fillId="0" borderId="0" xfId="0" applyNumberFormat="1" applyFont="1"/>
    <xf numFmtId="41" fontId="151" fillId="0" borderId="0" xfId="0" applyNumberFormat="1" applyFont="1" applyAlignment="1"/>
    <xf numFmtId="0" fontId="152" fillId="0" borderId="0" xfId="0" applyFont="1" applyAlignment="1">
      <alignment horizontal="center"/>
    </xf>
    <xf numFmtId="0" fontId="153" fillId="0" borderId="0" xfId="0" applyFont="1" applyFill="1" applyAlignment="1">
      <alignment horizontal="center"/>
    </xf>
    <xf numFmtId="0" fontId="154" fillId="0" borderId="0" xfId="0" applyFont="1" applyAlignment="1">
      <alignment horizontal="center"/>
    </xf>
    <xf numFmtId="0" fontId="151" fillId="0" borderId="0" xfId="0" applyFont="1" applyFill="1"/>
    <xf numFmtId="41" fontId="148" fillId="0" borderId="0" xfId="0" applyNumberFormat="1" applyFont="1" applyAlignment="1"/>
    <xf numFmtId="173" fontId="148" fillId="0" borderId="0" xfId="0" applyNumberFormat="1" applyFont="1"/>
    <xf numFmtId="0" fontId="148" fillId="0" borderId="0" xfId="0" applyFont="1" applyAlignment="1">
      <alignment wrapText="1"/>
    </xf>
    <xf numFmtId="0" fontId="148" fillId="0" borderId="0" xfId="0" applyFont="1" applyAlignment="1"/>
    <xf numFmtId="0" fontId="148" fillId="0" borderId="11" xfId="0" applyFont="1" applyBorder="1"/>
    <xf numFmtId="0" fontId="151" fillId="0" borderId="11" xfId="0" applyFont="1" applyFill="1" applyBorder="1"/>
    <xf numFmtId="0" fontId="151" fillId="0" borderId="11" xfId="0" applyFont="1" applyBorder="1" applyAlignment="1"/>
    <xf numFmtId="0" fontId="148" fillId="0" borderId="11" xfId="0" applyFont="1" applyBorder="1" applyAlignment="1"/>
    <xf numFmtId="41" fontId="151" fillId="0" borderId="0" xfId="0" applyNumberFormat="1" applyFont="1" applyFill="1"/>
    <xf numFmtId="0" fontId="151" fillId="0" borderId="0" xfId="0" applyFont="1" applyAlignment="1">
      <alignment horizontal="center"/>
    </xf>
    <xf numFmtId="190" fontId="151" fillId="0" borderId="0" xfId="111" applyNumberFormat="1" applyFont="1" applyAlignment="1">
      <alignment horizontal="center"/>
    </xf>
    <xf numFmtId="0" fontId="148" fillId="0" borderId="0" xfId="0" applyFont="1" applyBorder="1"/>
    <xf numFmtId="173" fontId="148" fillId="0" borderId="14" xfId="0" applyNumberFormat="1" applyFont="1" applyBorder="1"/>
    <xf numFmtId="173" fontId="151" fillId="0" borderId="14" xfId="0" applyNumberFormat="1" applyFont="1" applyFill="1" applyBorder="1"/>
    <xf numFmtId="41" fontId="148" fillId="0" borderId="14" xfId="0" applyNumberFormat="1" applyFont="1" applyBorder="1" applyAlignment="1"/>
    <xf numFmtId="43" fontId="151" fillId="0" borderId="0" xfId="0" applyNumberFormat="1" applyFont="1" applyAlignment="1"/>
    <xf numFmtId="0" fontId="151" fillId="0" borderId="0" xfId="0" applyFont="1" applyAlignment="1">
      <alignment wrapText="1"/>
    </xf>
    <xf numFmtId="0" fontId="150" fillId="0" borderId="0" xfId="0" applyFont="1" applyAlignment="1">
      <alignment horizontal="center" wrapText="1"/>
    </xf>
    <xf numFmtId="43" fontId="150" fillId="0" borderId="0" xfId="111" applyFont="1" applyAlignment="1">
      <alignment horizontal="center" wrapText="1"/>
    </xf>
    <xf numFmtId="173" fontId="148" fillId="0" borderId="0" xfId="0" applyNumberFormat="1" applyFont="1" applyBorder="1"/>
    <xf numFmtId="173" fontId="148" fillId="0" borderId="0" xfId="111" applyNumberFormat="1" applyFont="1"/>
    <xf numFmtId="173" fontId="148" fillId="32" borderId="0" xfId="111" applyNumberFormat="1" applyFont="1" applyFill="1" applyProtection="1">
      <protection locked="0"/>
    </xf>
    <xf numFmtId="173" fontId="150" fillId="0" borderId="0" xfId="111" applyNumberFormat="1" applyFont="1" applyAlignment="1">
      <alignment horizontal="center" wrapText="1"/>
    </xf>
    <xf numFmtId="173" fontId="150" fillId="0" borderId="0" xfId="111" applyNumberFormat="1" applyFont="1"/>
    <xf numFmtId="173" fontId="150" fillId="0" borderId="0" xfId="111" applyNumberFormat="1" applyFont="1" applyAlignment="1">
      <alignment horizontal="center"/>
    </xf>
    <xf numFmtId="10" fontId="148" fillId="0" borderId="0" xfId="289" applyNumberFormat="1" applyFont="1"/>
    <xf numFmtId="173" fontId="148" fillId="0" borderId="11" xfId="0" applyNumberFormat="1" applyFont="1" applyBorder="1"/>
    <xf numFmtId="173" fontId="148" fillId="0" borderId="11" xfId="111" applyNumberFormat="1" applyFont="1" applyBorder="1"/>
    <xf numFmtId="0" fontId="9" fillId="0" borderId="0" xfId="259" applyNumberFormat="1" applyFont="1" applyFill="1" applyAlignment="1" applyProtection="1">
      <alignment horizontal="left" indent="4"/>
    </xf>
    <xf numFmtId="41" fontId="23" fillId="0" borderId="0" xfId="259" applyNumberFormat="1" applyFont="1" applyFill="1" applyAlignment="1" applyProtection="1">
      <protection locked="0"/>
    </xf>
    <xf numFmtId="0" fontId="16" fillId="32" borderId="0" xfId="211" applyFont="1" applyFill="1" applyBorder="1" applyProtection="1">
      <protection locked="0"/>
    </xf>
    <xf numFmtId="0" fontId="23" fillId="32" borderId="0" xfId="251" applyFont="1" applyFill="1" applyAlignment="1" applyProtection="1">
      <alignment horizontal="center"/>
      <protection locked="0"/>
    </xf>
    <xf numFmtId="41" fontId="23" fillId="32" borderId="0" xfId="251" applyNumberFormat="1" applyFont="1" applyFill="1" applyBorder="1" applyProtection="1">
      <protection locked="0"/>
    </xf>
    <xf numFmtId="41" fontId="23" fillId="32" borderId="11" xfId="251" applyNumberFormat="1" applyFont="1" applyFill="1" applyBorder="1" applyProtection="1">
      <protection locked="0"/>
    </xf>
    <xf numFmtId="10" fontId="9" fillId="0" borderId="0" xfId="0" applyNumberFormat="1" applyFont="1"/>
    <xf numFmtId="10" fontId="9" fillId="0" borderId="0" xfId="0" applyNumberFormat="1" applyFont="1" applyFill="1"/>
    <xf numFmtId="10" fontId="9" fillId="31" borderId="0" xfId="0" applyNumberFormat="1" applyFont="1" applyFill="1" applyBorder="1" applyAlignment="1"/>
    <xf numFmtId="10" fontId="75" fillId="0" borderId="0" xfId="269" applyNumberFormat="1" applyFont="1" applyFill="1"/>
    <xf numFmtId="164" fontId="75" fillId="0" borderId="0" xfId="269" applyNumberFormat="1" applyFont="1" applyFill="1"/>
    <xf numFmtId="10" fontId="81" fillId="32" borderId="11" xfId="269" applyNumberFormat="1" applyFont="1" applyFill="1" applyBorder="1" applyProtection="1">
      <protection locked="0"/>
    </xf>
    <xf numFmtId="9" fontId="81" fillId="32" borderId="11" xfId="269" applyFont="1" applyFill="1" applyBorder="1" applyProtection="1">
      <protection locked="0"/>
    </xf>
    <xf numFmtId="9" fontId="75" fillId="0" borderId="0" xfId="269" applyFont="1" applyFill="1"/>
    <xf numFmtId="10" fontId="75" fillId="0" borderId="11" xfId="269" applyNumberFormat="1" applyFont="1" applyFill="1" applyBorder="1"/>
    <xf numFmtId="173" fontId="75" fillId="0" borderId="0" xfId="88" applyNumberFormat="1" applyFont="1" applyFill="1"/>
    <xf numFmtId="10" fontId="75" fillId="0" borderId="0" xfId="269" applyNumberFormat="1" applyFont="1" applyFill="1" applyBorder="1"/>
    <xf numFmtId="0" fontId="12" fillId="32" borderId="0" xfId="251" applyFont="1" applyFill="1" applyProtection="1">
      <protection locked="0"/>
    </xf>
    <xf numFmtId="173" fontId="16" fillId="0" borderId="0" xfId="88" applyNumberFormat="1" applyFont="1" applyProtection="1"/>
    <xf numFmtId="173" fontId="16" fillId="0" borderId="0" xfId="88" applyNumberFormat="1" applyFont="1" applyBorder="1" applyProtection="1"/>
    <xf numFmtId="0" fontId="23" fillId="32" borderId="0" xfId="88" applyNumberFormat="1" applyFont="1" applyFill="1" applyAlignment="1" applyProtection="1">
      <alignment horizontal="left"/>
    </xf>
    <xf numFmtId="173" fontId="13" fillId="0" borderId="25" xfId="88" applyNumberFormat="1" applyFont="1" applyBorder="1" applyProtection="1"/>
    <xf numFmtId="0" fontId="9" fillId="0" borderId="0" xfId="88" applyNumberFormat="1" applyFont="1" applyFill="1" applyAlignment="1" applyProtection="1">
      <alignment horizontal="left"/>
    </xf>
    <xf numFmtId="0" fontId="9" fillId="0" borderId="0" xfId="88" applyNumberFormat="1" applyFont="1" applyFill="1" applyBorder="1" applyAlignment="1" applyProtection="1">
      <alignment horizontal="left"/>
    </xf>
    <xf numFmtId="0" fontId="10" fillId="0" borderId="0" xfId="88" applyNumberFormat="1" applyFont="1" applyFill="1" applyBorder="1" applyAlignment="1" applyProtection="1">
      <alignment horizontal="left"/>
    </xf>
    <xf numFmtId="173" fontId="13" fillId="0" borderId="29" xfId="88" applyNumberFormat="1" applyFont="1" applyBorder="1" applyProtection="1"/>
    <xf numFmtId="173" fontId="13" fillId="0" borderId="19" xfId="88" applyNumberFormat="1" applyFont="1" applyBorder="1" applyProtection="1"/>
    <xf numFmtId="173" fontId="16" fillId="0" borderId="6" xfId="88" applyNumberFormat="1" applyFont="1" applyBorder="1" applyProtection="1"/>
    <xf numFmtId="173" fontId="16" fillId="0" borderId="20" xfId="88" applyNumberFormat="1" applyFont="1" applyBorder="1" applyProtection="1"/>
    <xf numFmtId="173" fontId="16" fillId="0" borderId="0" xfId="88" applyNumberFormat="1" applyFont="1" applyFill="1" applyAlignment="1" applyProtection="1"/>
    <xf numFmtId="173" fontId="160" fillId="32" borderId="18" xfId="88" applyNumberFormat="1" applyFont="1" applyFill="1" applyBorder="1" applyAlignment="1" applyProtection="1">
      <alignment horizontal="right"/>
      <protection locked="0"/>
    </xf>
    <xf numFmtId="173" fontId="12" fillId="0" borderId="18" xfId="0" applyNumberFormat="1" applyFont="1" applyFill="1" applyBorder="1" applyAlignment="1" applyProtection="1">
      <alignment horizontal="right"/>
    </xf>
    <xf numFmtId="0" fontId="0" fillId="0" borderId="0" xfId="0" applyFill="1" applyAlignment="1" applyProtection="1">
      <alignment wrapText="1"/>
    </xf>
    <xf numFmtId="173" fontId="13" fillId="0" borderId="0" xfId="88" applyNumberFormat="1" applyFont="1" applyBorder="1" applyAlignment="1" applyProtection="1">
      <alignment horizontal="center" wrapText="1"/>
    </xf>
    <xf numFmtId="173" fontId="13" fillId="0" borderId="26" xfId="88" applyNumberFormat="1" applyFont="1" applyBorder="1" applyAlignment="1" applyProtection="1">
      <alignment horizontal="center" wrapText="1"/>
    </xf>
    <xf numFmtId="173" fontId="13" fillId="0" borderId="25" xfId="88" applyNumberFormat="1" applyFont="1" applyBorder="1" applyAlignment="1" applyProtection="1">
      <alignment horizontal="center" wrapText="1"/>
    </xf>
    <xf numFmtId="173" fontId="13" fillId="29" borderId="26" xfId="88" applyNumberFormat="1" applyFont="1" applyFill="1" applyBorder="1" applyAlignment="1" applyProtection="1">
      <alignment horizontal="center" wrapText="1"/>
    </xf>
    <xf numFmtId="173" fontId="13" fillId="0" borderId="28" xfId="88" applyNumberFormat="1" applyFont="1" applyBorder="1" applyAlignment="1" applyProtection="1">
      <alignment horizontal="center"/>
    </xf>
    <xf numFmtId="173" fontId="13" fillId="0" borderId="20" xfId="88" applyNumberFormat="1" applyFont="1" applyBorder="1" applyAlignment="1" applyProtection="1">
      <alignment horizontal="center"/>
    </xf>
    <xf numFmtId="173" fontId="13" fillId="29" borderId="28" xfId="88" applyNumberFormat="1" applyFont="1" applyFill="1" applyBorder="1" applyAlignment="1" applyProtection="1">
      <alignment horizontal="center"/>
    </xf>
    <xf numFmtId="173" fontId="16" fillId="0" borderId="27" xfId="88" applyNumberFormat="1" applyFont="1" applyBorder="1" applyProtection="1"/>
    <xf numFmtId="173" fontId="16" fillId="0" borderId="27" xfId="88" applyNumberFormat="1" applyFont="1" applyFill="1" applyBorder="1" applyProtection="1"/>
    <xf numFmtId="173" fontId="16" fillId="0" borderId="18" xfId="88" applyNumberFormat="1" applyFont="1" applyFill="1" applyBorder="1" applyAlignment="1" applyProtection="1">
      <alignment horizontal="left" indent="3"/>
    </xf>
    <xf numFmtId="173" fontId="16" fillId="0" borderId="18" xfId="88" applyNumberFormat="1" applyFont="1" applyBorder="1" applyProtection="1"/>
    <xf numFmtId="174" fontId="160" fillId="32" borderId="27" xfId="0" applyNumberFormat="1" applyFont="1" applyFill="1" applyBorder="1" applyProtection="1">
      <protection locked="0"/>
    </xf>
    <xf numFmtId="173" fontId="16" fillId="31" borderId="0" xfId="0" applyNumberFormat="1" applyFont="1" applyFill="1" applyBorder="1" applyProtection="1"/>
    <xf numFmtId="173" fontId="16" fillId="31" borderId="27" xfId="0" applyNumberFormat="1" applyFont="1" applyFill="1" applyBorder="1" applyProtection="1"/>
    <xf numFmtId="173" fontId="16" fillId="31" borderId="27" xfId="88" applyNumberFormat="1" applyFont="1" applyFill="1" applyBorder="1" applyProtection="1"/>
    <xf numFmtId="173" fontId="16" fillId="31" borderId="18" xfId="88" applyNumberFormat="1" applyFont="1" applyFill="1" applyBorder="1" applyProtection="1"/>
    <xf numFmtId="174" fontId="16" fillId="31" borderId="27" xfId="0" applyNumberFormat="1" applyFont="1" applyFill="1" applyBorder="1" applyProtection="1"/>
    <xf numFmtId="173" fontId="16" fillId="0" borderId="28" xfId="88" applyNumberFormat="1" applyFont="1" applyBorder="1" applyProtection="1"/>
    <xf numFmtId="173" fontId="16" fillId="0" borderId="0" xfId="88" applyNumberFormat="1" applyProtection="1"/>
    <xf numFmtId="0" fontId="16" fillId="31" borderId="27" xfId="0" applyNumberFormat="1" applyFont="1" applyFill="1" applyBorder="1" applyAlignment="1" applyProtection="1">
      <alignment horizontal="center"/>
    </xf>
    <xf numFmtId="39" fontId="22" fillId="0" borderId="0" xfId="257" applyNumberFormat="1" applyFont="1" applyFill="1"/>
    <xf numFmtId="173" fontId="81" fillId="32" borderId="0" xfId="260" applyNumberFormat="1" applyFont="1" applyFill="1" applyBorder="1" applyProtection="1">
      <protection locked="0"/>
    </xf>
    <xf numFmtId="173" fontId="155" fillId="32" borderId="0" xfId="112" applyNumberFormat="1" applyFont="1" applyFill="1" applyProtection="1">
      <protection locked="0"/>
    </xf>
    <xf numFmtId="41" fontId="151" fillId="0" borderId="0" xfId="254" applyNumberFormat="1" applyFont="1" applyFill="1" applyBorder="1"/>
    <xf numFmtId="41" fontId="9" fillId="0" borderId="11" xfId="259" applyNumberFormat="1" applyFont="1" applyFill="1" applyBorder="1" applyAlignment="1" applyProtection="1"/>
    <xf numFmtId="0" fontId="0" fillId="0" borderId="11" xfId="0" applyBorder="1"/>
    <xf numFmtId="0" fontId="19" fillId="0" borderId="11" xfId="0" applyFont="1" applyBorder="1" applyAlignment="1"/>
    <xf numFmtId="173" fontId="16" fillId="0" borderId="11" xfId="88" applyNumberFormat="1" applyFont="1" applyBorder="1" applyProtection="1"/>
    <xf numFmtId="174" fontId="16" fillId="0" borderId="11" xfId="0" applyNumberFormat="1" applyFont="1" applyBorder="1" applyProtection="1"/>
    <xf numFmtId="10" fontId="9" fillId="33" borderId="0" xfId="259" applyNumberFormat="1" applyFont="1" applyFill="1" applyAlignment="1" applyProtection="1"/>
    <xf numFmtId="0" fontId="67" fillId="32" borderId="0" xfId="0" applyNumberFormat="1" applyFont="1" applyFill="1" applyAlignment="1" applyProtection="1">
      <alignment horizontal="left"/>
      <protection locked="0"/>
    </xf>
    <xf numFmtId="3" fontId="67" fillId="32" borderId="0" xfId="0" quotePrefix="1" applyNumberFormat="1" applyFont="1" applyFill="1" applyProtection="1">
      <protection locked="0"/>
    </xf>
    <xf numFmtId="0" fontId="67" fillId="32" borderId="0" xfId="88" quotePrefix="1" applyNumberFormat="1" applyFont="1" applyFill="1" applyAlignment="1" applyProtection="1">
      <alignment horizontal="left"/>
      <protection locked="0"/>
    </xf>
    <xf numFmtId="10" fontId="9" fillId="0" borderId="14" xfId="0" applyNumberFormat="1" applyFont="1" applyFill="1" applyBorder="1" applyAlignment="1"/>
    <xf numFmtId="173" fontId="155" fillId="32" borderId="11" xfId="112" applyNumberFormat="1" applyFont="1" applyFill="1" applyBorder="1" applyProtection="1">
      <protection locked="0"/>
    </xf>
    <xf numFmtId="9" fontId="9" fillId="0" borderId="0" xfId="0" applyNumberFormat="1" applyFont="1" applyFill="1" applyProtection="1"/>
    <xf numFmtId="0" fontId="0" fillId="31" borderId="0" xfId="0" applyFill="1" applyProtection="1"/>
    <xf numFmtId="0" fontId="81" fillId="32" borderId="0" xfId="260" applyNumberFormat="1" applyFont="1" applyFill="1" applyBorder="1" applyAlignment="1" applyProtection="1">
      <alignment horizontal="center"/>
      <protection locked="0"/>
    </xf>
    <xf numFmtId="173" fontId="75" fillId="0" borderId="0" xfId="86" applyNumberFormat="1" applyFont="1"/>
    <xf numFmtId="39" fontId="22" fillId="0" borderId="0" xfId="256" applyNumberFormat="1" applyFont="1" applyFill="1"/>
    <xf numFmtId="173" fontId="22" fillId="0" borderId="0" xfId="86" applyNumberFormat="1" applyFont="1"/>
    <xf numFmtId="43" fontId="22" fillId="0" borderId="0" xfId="86" applyFont="1"/>
    <xf numFmtId="10" fontId="22" fillId="0" borderId="0" xfId="269" applyNumberFormat="1" applyFont="1" applyFill="1"/>
    <xf numFmtId="9" fontId="22" fillId="0" borderId="0" xfId="269" applyFont="1" applyFill="1"/>
    <xf numFmtId="0" fontId="12" fillId="32" borderId="0" xfId="89" quotePrefix="1" applyNumberFormat="1" applyFont="1" applyFill="1" applyBorder="1" applyAlignment="1" applyProtection="1">
      <alignment horizontal="center"/>
      <protection locked="0"/>
    </xf>
    <xf numFmtId="0" fontId="23" fillId="32" borderId="0" xfId="249" quotePrefix="1" applyFont="1" applyFill="1" applyAlignment="1" applyProtection="1">
      <alignment horizontal="center"/>
      <protection locked="0"/>
    </xf>
    <xf numFmtId="0" fontId="80" fillId="0" borderId="30" xfId="261" applyFont="1" applyBorder="1" applyAlignment="1" applyProtection="1">
      <alignment horizontal="center"/>
    </xf>
    <xf numFmtId="0" fontId="118" fillId="0" borderId="16" xfId="0" applyFont="1" applyBorder="1"/>
    <xf numFmtId="0" fontId="114" fillId="0" borderId="16" xfId="0" applyFont="1" applyBorder="1" applyProtection="1">
      <protection locked="0"/>
    </xf>
    <xf numFmtId="10" fontId="0" fillId="0" borderId="16" xfId="0" applyNumberFormat="1" applyBorder="1" applyProtection="1"/>
    <xf numFmtId="192" fontId="0" fillId="0" borderId="16" xfId="0" applyNumberFormat="1" applyBorder="1" applyProtection="1"/>
    <xf numFmtId="176" fontId="0" fillId="0" borderId="16" xfId="0" applyNumberFormat="1" applyBorder="1" applyProtection="1"/>
    <xf numFmtId="176" fontId="0" fillId="0" borderId="16" xfId="0" applyNumberFormat="1" applyBorder="1" applyAlignment="1" applyProtection="1">
      <alignment horizontal="center"/>
    </xf>
    <xf numFmtId="0" fontId="118" fillId="0" borderId="30" xfId="0" applyFont="1" applyBorder="1"/>
    <xf numFmtId="0" fontId="114" fillId="0" borderId="30" xfId="0" applyFont="1" applyBorder="1" applyProtection="1">
      <protection locked="0"/>
    </xf>
    <xf numFmtId="10" fontId="0" fillId="0" borderId="30" xfId="0" applyNumberFormat="1" applyBorder="1" applyProtection="1"/>
    <xf numFmtId="192" fontId="0" fillId="0" borderId="30" xfId="0" applyNumberFormat="1" applyBorder="1" applyProtection="1"/>
    <xf numFmtId="176" fontId="0" fillId="0" borderId="30" xfId="0" applyNumberFormat="1" applyBorder="1" applyProtection="1"/>
    <xf numFmtId="0" fontId="6" fillId="0" borderId="0" xfId="404" applyAlignment="1">
      <alignment wrapText="1"/>
    </xf>
    <xf numFmtId="0" fontId="28" fillId="0" borderId="0" xfId="404" applyFont="1"/>
    <xf numFmtId="9" fontId="28" fillId="0" borderId="0" xfId="524" applyFont="1"/>
    <xf numFmtId="10" fontId="28" fillId="0" borderId="0" xfId="486" applyNumberFormat="1" applyFont="1"/>
    <xf numFmtId="172" fontId="28" fillId="0" borderId="0" xfId="525" applyFont="1" applyAlignment="1"/>
    <xf numFmtId="41" fontId="28" fillId="32" borderId="50" xfId="249" applyNumberFormat="1" applyFont="1" applyFill="1" applyBorder="1" applyProtection="1">
      <protection locked="0"/>
    </xf>
    <xf numFmtId="41" fontId="28" fillId="32" borderId="0" xfId="249" applyNumberFormat="1" applyFont="1" applyFill="1" applyBorder="1" applyProtection="1">
      <protection locked="0"/>
    </xf>
    <xf numFmtId="172" fontId="28" fillId="0" borderId="0" xfId="525" applyFont="1" applyBorder="1"/>
    <xf numFmtId="41" fontId="28" fillId="32" borderId="52" xfId="249" applyNumberFormat="1" applyFont="1" applyFill="1" applyBorder="1" applyProtection="1">
      <protection locked="0"/>
    </xf>
    <xf numFmtId="0" fontId="28" fillId="0" borderId="0" xfId="404" applyFont="1" applyBorder="1"/>
    <xf numFmtId="41" fontId="28" fillId="32" borderId="42" xfId="249" applyNumberFormat="1" applyFont="1" applyFill="1" applyBorder="1" applyProtection="1">
      <protection locked="0"/>
    </xf>
    <xf numFmtId="41" fontId="28" fillId="0" borderId="42" xfId="404" applyNumberFormat="1" applyFont="1" applyFill="1" applyBorder="1"/>
    <xf numFmtId="173" fontId="28" fillId="0" borderId="0" xfId="527" applyNumberFormat="1" applyFont="1" applyBorder="1" applyAlignment="1">
      <alignment horizontal="center"/>
    </xf>
    <xf numFmtId="41" fontId="28" fillId="0" borderId="52" xfId="404" applyNumberFormat="1" applyFont="1" applyFill="1" applyBorder="1"/>
    <xf numFmtId="41" fontId="28" fillId="32" borderId="34" xfId="249" applyNumberFormat="1" applyFont="1" applyFill="1" applyBorder="1" applyAlignment="1" applyProtection="1">
      <alignment vertical="center" wrapText="1"/>
      <protection locked="0"/>
    </xf>
    <xf numFmtId="41" fontId="28" fillId="32" borderId="34" xfId="249" applyNumberFormat="1" applyFont="1" applyFill="1" applyBorder="1" applyAlignment="1" applyProtection="1">
      <alignment vertical="top"/>
      <protection locked="0"/>
    </xf>
    <xf numFmtId="0" fontId="28" fillId="0" borderId="0" xfId="404" applyFont="1" applyFill="1"/>
    <xf numFmtId="172" fontId="28" fillId="0" borderId="0" xfId="404" applyNumberFormat="1" applyFont="1" applyFill="1" applyBorder="1"/>
    <xf numFmtId="41" fontId="28" fillId="32" borderId="54" xfId="249" applyNumberFormat="1" applyFont="1" applyFill="1" applyBorder="1" applyProtection="1">
      <protection locked="0"/>
    </xf>
    <xf numFmtId="173" fontId="28" fillId="0" borderId="55" xfId="527" applyNumberFormat="1" applyFont="1" applyBorder="1" applyAlignment="1"/>
    <xf numFmtId="177" fontId="28" fillId="0" borderId="55" xfId="527" applyNumberFormat="1" applyFont="1" applyBorder="1" applyAlignment="1"/>
    <xf numFmtId="173" fontId="28" fillId="0" borderId="55" xfId="527" applyNumberFormat="1" applyFont="1" applyFill="1" applyBorder="1" applyAlignment="1"/>
    <xf numFmtId="1" fontId="28" fillId="0" borderId="0" xfId="527" applyNumberFormat="1" applyFont="1" applyBorder="1" applyAlignment="1"/>
    <xf numFmtId="177" fontId="28" fillId="0" borderId="0" xfId="527" applyNumberFormat="1" applyFont="1" applyBorder="1" applyAlignment="1"/>
    <xf numFmtId="173" fontId="28" fillId="0" borderId="56" xfId="527" applyNumberFormat="1" applyFont="1" applyBorder="1" applyAlignment="1">
      <alignment horizontal="center"/>
    </xf>
    <xf numFmtId="173" fontId="28" fillId="0" borderId="0" xfId="527" applyNumberFormat="1" applyFont="1" applyBorder="1" applyAlignment="1"/>
    <xf numFmtId="0" fontId="28" fillId="0" borderId="0" xfId="404" applyFont="1" applyFill="1" applyBorder="1"/>
    <xf numFmtId="41" fontId="28" fillId="32" borderId="34" xfId="249" applyNumberFormat="1" applyFont="1" applyFill="1" applyBorder="1" applyAlignment="1" applyProtection="1">
      <alignment vertical="center"/>
      <protection locked="0"/>
    </xf>
    <xf numFmtId="172" fontId="28" fillId="0" borderId="0" xfId="525" applyFont="1"/>
    <xf numFmtId="172" fontId="28" fillId="0" borderId="0" xfId="525" applyFont="1" applyAlignment="1">
      <alignment horizontal="center"/>
    </xf>
    <xf numFmtId="172" fontId="6" fillId="0" borderId="0" xfId="525" applyFont="1" applyAlignment="1">
      <alignment horizontal="right"/>
    </xf>
    <xf numFmtId="14" fontId="28" fillId="0" borderId="0" xfId="525" applyNumberFormat="1" applyFont="1"/>
    <xf numFmtId="41" fontId="28" fillId="0" borderId="0" xfId="525" applyNumberFormat="1" applyFont="1"/>
    <xf numFmtId="0" fontId="28" fillId="0" borderId="0" xfId="0" applyFont="1" applyAlignment="1"/>
    <xf numFmtId="172" fontId="29" fillId="0" borderId="0" xfId="525" applyFont="1"/>
    <xf numFmtId="172" fontId="28" fillId="0" borderId="11" xfId="525" applyFont="1" applyBorder="1"/>
    <xf numFmtId="172" fontId="29" fillId="0" borderId="11" xfId="525" applyFont="1" applyBorder="1" applyAlignment="1">
      <alignment horizontal="center"/>
    </xf>
    <xf numFmtId="172" fontId="29" fillId="0" borderId="11" xfId="525" applyFont="1" applyBorder="1" applyAlignment="1">
      <alignment horizontal="center" wrapText="1"/>
    </xf>
    <xf numFmtId="172" fontId="29" fillId="0" borderId="49" xfId="525" applyFont="1" applyBorder="1" applyAlignment="1">
      <alignment horizontal="center" wrapText="1"/>
    </xf>
    <xf numFmtId="172" fontId="29" fillId="0" borderId="11" xfId="525" applyFont="1" applyFill="1" applyBorder="1" applyAlignment="1">
      <alignment horizontal="center" wrapText="1"/>
    </xf>
    <xf numFmtId="172" fontId="29" fillId="0" borderId="0" xfId="525" applyFont="1" applyAlignment="1">
      <alignment horizontal="center"/>
    </xf>
    <xf numFmtId="172" fontId="28" fillId="0" borderId="0" xfId="525" applyFont="1" applyFill="1"/>
    <xf numFmtId="172" fontId="29" fillId="0" borderId="0" xfId="525" applyFont="1" applyBorder="1" applyAlignment="1">
      <alignment horizontal="center" wrapText="1"/>
    </xf>
    <xf numFmtId="172" fontId="29" fillId="0" borderId="0" xfId="525" applyFont="1" applyFill="1" applyBorder="1" applyAlignment="1">
      <alignment horizontal="center" wrapText="1"/>
    </xf>
    <xf numFmtId="173" fontId="29" fillId="0" borderId="0" xfId="525" applyNumberFormat="1" applyFont="1" applyAlignment="1">
      <alignment horizontal="center"/>
    </xf>
    <xf numFmtId="172" fontId="29" fillId="0" borderId="0" xfId="525" applyFont="1" applyAlignment="1">
      <alignment horizontal="left"/>
    </xf>
    <xf numFmtId="172" fontId="28" fillId="34" borderId="0" xfId="525" applyFont="1" applyFill="1"/>
    <xf numFmtId="49" fontId="28" fillId="0" borderId="0" xfId="525" applyNumberFormat="1" applyFont="1" applyFill="1" applyAlignment="1">
      <alignment horizontal="center"/>
    </xf>
    <xf numFmtId="172" fontId="28" fillId="0" borderId="0" xfId="525" applyFont="1" applyFill="1" applyBorder="1" applyAlignment="1">
      <alignment horizontal="center"/>
    </xf>
    <xf numFmtId="173" fontId="28" fillId="35" borderId="50" xfId="372" applyNumberFormat="1" applyFont="1" applyFill="1" applyBorder="1"/>
    <xf numFmtId="173" fontId="28" fillId="0" borderId="51" xfId="372" applyNumberFormat="1" applyFont="1" applyFill="1" applyBorder="1"/>
    <xf numFmtId="173" fontId="28" fillId="35" borderId="0" xfId="372" applyNumberFormat="1" applyFont="1" applyFill="1" applyBorder="1"/>
    <xf numFmtId="0" fontId="28" fillId="0" borderId="0" xfId="0" applyFont="1" applyBorder="1"/>
    <xf numFmtId="41" fontId="28" fillId="0" borderId="0" xfId="525" applyNumberFormat="1" applyFont="1" applyBorder="1" applyAlignment="1">
      <alignment horizontal="center"/>
    </xf>
    <xf numFmtId="172" fontId="29" fillId="0" borderId="0" xfId="525" applyFont="1" applyBorder="1"/>
    <xf numFmtId="173" fontId="28" fillId="35" borderId="35" xfId="372" applyNumberFormat="1" applyFont="1" applyFill="1" applyBorder="1"/>
    <xf numFmtId="173" fontId="28" fillId="35" borderId="53" xfId="372" applyNumberFormat="1" applyFont="1" applyFill="1" applyBorder="1"/>
    <xf numFmtId="173" fontId="28" fillId="0" borderId="53" xfId="372" applyNumberFormat="1" applyFont="1" applyFill="1" applyBorder="1"/>
    <xf numFmtId="173" fontId="28" fillId="35" borderId="52" xfId="372" applyNumberFormat="1" applyFont="1" applyFill="1" applyBorder="1"/>
    <xf numFmtId="49" fontId="28" fillId="0" borderId="0" xfId="525" applyNumberFormat="1" applyFont="1" applyAlignment="1">
      <alignment horizontal="center"/>
    </xf>
    <xf numFmtId="173" fontId="28" fillId="0" borderId="52" xfId="372" applyNumberFormat="1" applyFont="1" applyFill="1" applyBorder="1"/>
    <xf numFmtId="0" fontId="0" fillId="0" borderId="0" xfId="0" applyFont="1"/>
    <xf numFmtId="0" fontId="173" fillId="0" borderId="0" xfId="0" applyFont="1"/>
    <xf numFmtId="172" fontId="28" fillId="0" borderId="0" xfId="525" applyFont="1" applyFill="1" applyAlignment="1">
      <alignment horizontal="center"/>
    </xf>
    <xf numFmtId="172" fontId="28" fillId="0" borderId="0" xfId="525" applyFont="1" applyAlignment="1">
      <alignment wrapText="1"/>
    </xf>
    <xf numFmtId="173" fontId="28" fillId="0" borderId="0" xfId="372" applyNumberFormat="1" applyFont="1" applyFill="1" applyBorder="1"/>
    <xf numFmtId="173" fontId="28" fillId="0" borderId="0" xfId="372" applyNumberFormat="1" applyFont="1" applyBorder="1" applyAlignment="1">
      <alignment wrapText="1"/>
    </xf>
    <xf numFmtId="172" fontId="28" fillId="0" borderId="0" xfId="525" applyFont="1" applyAlignment="1">
      <alignment horizontal="left"/>
    </xf>
    <xf numFmtId="173" fontId="28" fillId="0" borderId="0" xfId="372" applyNumberFormat="1" applyFont="1" applyAlignment="1">
      <alignment wrapText="1"/>
    </xf>
    <xf numFmtId="173" fontId="28" fillId="0" borderId="0" xfId="527" applyNumberFormat="1" applyFont="1" applyAlignment="1"/>
    <xf numFmtId="172" fontId="28" fillId="0" borderId="0" xfId="525" applyFont="1" applyAlignment="1">
      <alignment horizontal="left" vertical="center"/>
    </xf>
    <xf numFmtId="172" fontId="28" fillId="0" borderId="0" xfId="525" applyFont="1" applyAlignment="1">
      <alignment vertical="top" wrapText="1"/>
    </xf>
    <xf numFmtId="173" fontId="28" fillId="0" borderId="0" xfId="525" applyNumberFormat="1" applyFont="1"/>
    <xf numFmtId="172" fontId="28" fillId="0" borderId="0" xfId="525" applyFont="1" applyAlignment="1">
      <alignment vertical="top"/>
    </xf>
    <xf numFmtId="172" fontId="28" fillId="0" borderId="0" xfId="525" applyFont="1" applyFill="1" applyAlignment="1">
      <alignment horizontal="left"/>
    </xf>
    <xf numFmtId="172" fontId="29" fillId="0" borderId="0" xfId="525" applyFont="1" applyAlignment="1">
      <alignment horizontal="left" vertical="center"/>
    </xf>
    <xf numFmtId="173" fontId="28" fillId="0" borderId="0" xfId="525" applyNumberFormat="1" applyFont="1" applyAlignment="1">
      <alignment horizontal="left" vertical="center"/>
    </xf>
    <xf numFmtId="173" fontId="155" fillId="32" borderId="0" xfId="369" applyNumberFormat="1" applyFont="1" applyFill="1" applyProtection="1">
      <protection locked="0"/>
    </xf>
    <xf numFmtId="173" fontId="16" fillId="0" borderId="0" xfId="0" applyNumberFormat="1" applyFont="1" applyFill="1" applyBorder="1" applyProtection="1"/>
    <xf numFmtId="41" fontId="12" fillId="0" borderId="0" xfId="249" applyNumberFormat="1" applyFont="1" applyFill="1" applyProtection="1">
      <protection locked="0"/>
    </xf>
    <xf numFmtId="176" fontId="126" fillId="32" borderId="0" xfId="486" applyNumberFormat="1" applyFont="1" applyFill="1" applyProtection="1">
      <protection locked="0"/>
    </xf>
    <xf numFmtId="41" fontId="31" fillId="0" borderId="11" xfId="249" applyNumberFormat="1" applyFont="1" applyFill="1" applyBorder="1"/>
    <xf numFmtId="173" fontId="16" fillId="0" borderId="0" xfId="260" applyNumberFormat="1" applyFont="1"/>
    <xf numFmtId="0" fontId="80" fillId="0" borderId="30" xfId="261" applyFont="1" applyBorder="1" applyAlignment="1">
      <alignment horizontal="center"/>
    </xf>
    <xf numFmtId="5" fontId="81" fillId="33" borderId="11" xfId="260" applyNumberFormat="1" applyFont="1" applyFill="1" applyBorder="1" applyProtection="1">
      <protection locked="0"/>
    </xf>
    <xf numFmtId="164" fontId="148" fillId="27" borderId="0" xfId="486" applyNumberFormat="1" applyFont="1" applyFill="1" applyProtection="1">
      <protection locked="0"/>
    </xf>
    <xf numFmtId="164" fontId="148" fillId="27" borderId="11" xfId="486" applyNumberFormat="1" applyFont="1" applyFill="1" applyBorder="1" applyProtection="1">
      <protection locked="0"/>
    </xf>
    <xf numFmtId="0" fontId="6" fillId="0" borderId="0" xfId="404"/>
    <xf numFmtId="10" fontId="0" fillId="0" borderId="16" xfId="0" applyNumberFormat="1" applyBorder="1" applyAlignment="1" applyProtection="1">
      <alignment horizontal="center"/>
    </xf>
    <xf numFmtId="0" fontId="118" fillId="0" borderId="0" xfId="0" applyFont="1" applyBorder="1"/>
    <xf numFmtId="0" fontId="114" fillId="0" borderId="0" xfId="0" applyFont="1" applyBorder="1" applyProtection="1">
      <protection locked="0"/>
    </xf>
    <xf numFmtId="0" fontId="174" fillId="0" borderId="0" xfId="0" applyFont="1" applyBorder="1" applyAlignment="1">
      <alignment horizontal="center"/>
    </xf>
    <xf numFmtId="0" fontId="9" fillId="0" borderId="0" xfId="528" applyFont="1"/>
    <xf numFmtId="0" fontId="6" fillId="0" borderId="0" xfId="528"/>
    <xf numFmtId="0" fontId="6" fillId="0" borderId="0" xfId="528" applyAlignment="1">
      <alignment horizontal="center"/>
    </xf>
    <xf numFmtId="0" fontId="6" fillId="0" borderId="0" xfId="0" applyFont="1" applyFill="1" applyBorder="1" applyAlignment="1">
      <alignment horizontal="center"/>
    </xf>
    <xf numFmtId="41" fontId="12" fillId="36" borderId="0" xfId="249" applyNumberFormat="1" applyFont="1" applyFill="1" applyProtection="1">
      <protection locked="0"/>
    </xf>
    <xf numFmtId="37" fontId="0" fillId="36" borderId="0" xfId="0" applyNumberFormat="1" applyFont="1" applyFill="1" applyAlignment="1"/>
    <xf numFmtId="2" fontId="6" fillId="0" borderId="0" xfId="529" applyNumberFormat="1" applyFont="1"/>
    <xf numFmtId="172" fontId="6" fillId="0" borderId="0" xfId="529" applyFont="1"/>
    <xf numFmtId="172" fontId="9" fillId="0" borderId="0" xfId="529" applyFont="1" applyAlignment="1">
      <alignment horizontal="right"/>
    </xf>
    <xf numFmtId="172" fontId="28" fillId="0" borderId="0" xfId="529" applyFont="1" applyAlignment="1">
      <alignment horizontal="right"/>
    </xf>
    <xf numFmtId="173" fontId="6" fillId="0" borderId="0" xfId="530" applyNumberFormat="1" applyFont="1"/>
    <xf numFmtId="2" fontId="6" fillId="0" borderId="0" xfId="531" applyNumberFormat="1" applyFont="1"/>
    <xf numFmtId="172" fontId="6" fillId="0" borderId="0" xfId="529" applyFont="1" applyAlignment="1">
      <alignment horizontal="right"/>
    </xf>
    <xf numFmtId="173" fontId="13" fillId="0" borderId="0" xfId="530" applyNumberFormat="1" applyFont="1"/>
    <xf numFmtId="2" fontId="6" fillId="0" borderId="0" xfId="529" applyNumberFormat="1" applyFont="1" applyAlignment="1">
      <alignment horizontal="center"/>
    </xf>
    <xf numFmtId="172" fontId="6" fillId="0" borderId="0" xfId="529" applyFont="1" applyAlignment="1">
      <alignment horizontal="center"/>
    </xf>
    <xf numFmtId="172" fontId="7" fillId="0" borderId="0" xfId="529" applyFill="1"/>
    <xf numFmtId="172" fontId="6" fillId="0" borderId="0" xfId="529" applyFont="1" applyFill="1"/>
    <xf numFmtId="172" fontId="6" fillId="0" borderId="0" xfId="529" applyFont="1" applyAlignment="1">
      <alignment horizontal="center" wrapText="1"/>
    </xf>
    <xf numFmtId="172" fontId="6" fillId="0" borderId="0" xfId="529" applyFont="1" applyFill="1" applyAlignment="1">
      <alignment horizontal="center" wrapText="1"/>
    </xf>
    <xf numFmtId="172" fontId="6" fillId="0" borderId="0" xfId="529" applyFont="1" applyAlignment="1">
      <alignment wrapText="1"/>
    </xf>
    <xf numFmtId="2" fontId="13" fillId="0" borderId="0" xfId="529" applyNumberFormat="1" applyFont="1"/>
    <xf numFmtId="173" fontId="6" fillId="0" borderId="0" xfId="530" applyNumberFormat="1" applyFont="1" applyFill="1"/>
    <xf numFmtId="1" fontId="6" fillId="0" borderId="0" xfId="529" applyNumberFormat="1" applyFont="1" applyAlignment="1">
      <alignment horizontal="center"/>
    </xf>
    <xf numFmtId="49" fontId="6" fillId="0" borderId="0" xfId="530" applyNumberFormat="1" applyFont="1"/>
    <xf numFmtId="9" fontId="6" fillId="0" borderId="0" xfId="532" applyFont="1" applyFill="1" applyAlignment="1">
      <alignment horizontal="center"/>
    </xf>
    <xf numFmtId="10" fontId="0" fillId="0" borderId="0" xfId="532" applyNumberFormat="1" applyFont="1" applyFill="1"/>
    <xf numFmtId="9" fontId="6" fillId="0" borderId="0" xfId="532" applyFont="1" applyFill="1"/>
    <xf numFmtId="9" fontId="0" fillId="0" borderId="0" xfId="532" applyFont="1" applyFill="1"/>
    <xf numFmtId="10" fontId="6" fillId="0" borderId="0" xfId="532" applyNumberFormat="1" applyFont="1" applyFill="1"/>
    <xf numFmtId="10" fontId="6" fillId="0" borderId="0" xfId="532" applyNumberFormat="1" applyFont="1" applyFill="1" applyAlignment="1">
      <alignment horizontal="center"/>
    </xf>
    <xf numFmtId="9" fontId="0" fillId="0" borderId="0" xfId="532" applyNumberFormat="1" applyFont="1" applyFill="1"/>
    <xf numFmtId="172" fontId="6" fillId="0" borderId="0" xfId="529" applyFont="1" applyFill="1" applyAlignment="1">
      <alignment horizontal="center"/>
    </xf>
    <xf numFmtId="199" fontId="0" fillId="0" borderId="0" xfId="530" applyNumberFormat="1" applyFont="1" applyFill="1"/>
    <xf numFmtId="173" fontId="6" fillId="0" borderId="11" xfId="530" applyNumberFormat="1" applyFont="1" applyBorder="1"/>
    <xf numFmtId="172" fontId="7" fillId="0" borderId="0" xfId="529" applyFill="1" applyAlignment="1">
      <alignment horizontal="center"/>
    </xf>
    <xf numFmtId="173" fontId="6" fillId="0" borderId="49" xfId="530" applyNumberFormat="1" applyFont="1" applyFill="1" applyBorder="1"/>
    <xf numFmtId="173" fontId="6" fillId="0" borderId="0" xfId="530" applyNumberFormat="1" applyFont="1" applyFill="1" applyBorder="1"/>
    <xf numFmtId="9" fontId="6" fillId="0" borderId="0" xfId="532" applyFont="1" applyFill="1" applyBorder="1" applyAlignment="1">
      <alignment horizontal="center"/>
    </xf>
    <xf numFmtId="1" fontId="13" fillId="0" borderId="0" xfId="529" applyNumberFormat="1" applyFont="1" applyAlignment="1">
      <alignment horizontal="left"/>
    </xf>
    <xf numFmtId="9" fontId="6" fillId="0" borderId="0" xfId="532" applyNumberFormat="1" applyFont="1" applyFill="1"/>
    <xf numFmtId="199" fontId="6" fillId="0" borderId="0" xfId="530" applyNumberFormat="1" applyFont="1" applyFill="1"/>
    <xf numFmtId="173" fontId="6" fillId="0" borderId="0" xfId="530" applyNumberFormat="1" applyFont="1" applyBorder="1"/>
    <xf numFmtId="173" fontId="6" fillId="0" borderId="55" xfId="530" applyNumberFormat="1" applyFont="1" applyFill="1" applyBorder="1"/>
    <xf numFmtId="173" fontId="6" fillId="0" borderId="0" xfId="530" applyNumberFormat="1" applyFont="1" applyFill="1" applyBorder="1" applyAlignment="1">
      <alignment horizontal="center"/>
    </xf>
    <xf numFmtId="172" fontId="7" fillId="0" borderId="0" xfId="529"/>
    <xf numFmtId="2" fontId="7" fillId="0" borderId="0" xfId="529" applyNumberFormat="1"/>
    <xf numFmtId="173" fontId="12" fillId="32" borderId="0" xfId="346" applyNumberFormat="1" applyFont="1" applyFill="1" applyBorder="1" applyAlignment="1">
      <alignment horizontal="right"/>
    </xf>
    <xf numFmtId="173" fontId="12" fillId="32" borderId="33" xfId="346" applyNumberFormat="1" applyFont="1" applyFill="1" applyBorder="1" applyAlignment="1">
      <alignment horizontal="right"/>
    </xf>
    <xf numFmtId="172" fontId="28" fillId="0" borderId="0" xfId="525" applyFont="1" applyFill="1" applyAlignment="1"/>
    <xf numFmtId="172" fontId="29" fillId="0" borderId="11" xfId="525" quotePrefix="1" applyFont="1" applyFill="1" applyBorder="1" applyAlignment="1">
      <alignment horizontal="center" wrapText="1"/>
    </xf>
    <xf numFmtId="173" fontId="28" fillId="35" borderId="34" xfId="372" applyNumberFormat="1" applyFont="1" applyFill="1" applyBorder="1"/>
    <xf numFmtId="41" fontId="28" fillId="32" borderId="34" xfId="249" applyNumberFormat="1" applyFont="1" applyFill="1" applyBorder="1" applyProtection="1">
      <protection locked="0"/>
    </xf>
    <xf numFmtId="41" fontId="28" fillId="32" borderId="0" xfId="249" applyNumberFormat="1" applyFont="1" applyFill="1" applyBorder="1" applyAlignment="1" applyProtection="1">
      <alignment vertical="center"/>
      <protection locked="0"/>
    </xf>
    <xf numFmtId="49" fontId="28" fillId="0" borderId="0" xfId="523" applyNumberFormat="1" applyFont="1" applyAlignment="1">
      <alignment horizontal="center"/>
    </xf>
    <xf numFmtId="0" fontId="28" fillId="0" borderId="0" xfId="523" applyFont="1"/>
    <xf numFmtId="0" fontId="28" fillId="0" borderId="0" xfId="523" applyFont="1" applyAlignment="1">
      <alignment horizontal="center"/>
    </xf>
    <xf numFmtId="0" fontId="28" fillId="0" borderId="0" xfId="523" applyFont="1" applyAlignment="1">
      <alignment wrapText="1"/>
    </xf>
    <xf numFmtId="0" fontId="28" fillId="0" borderId="0" xfId="523" applyFont="1" applyAlignment="1">
      <alignment horizontal="left"/>
    </xf>
    <xf numFmtId="172" fontId="29" fillId="0" borderId="11" xfId="525" quotePrefix="1" applyFont="1" applyBorder="1" applyAlignment="1">
      <alignment horizontal="center" wrapText="1"/>
    </xf>
    <xf numFmtId="0" fontId="1" fillId="0" borderId="0" xfId="533"/>
    <xf numFmtId="2" fontId="6" fillId="0" borderId="0" xfId="534" applyNumberFormat="1" applyFont="1"/>
    <xf numFmtId="172" fontId="6" fillId="0" borderId="0" xfId="534" applyFont="1"/>
    <xf numFmtId="172" fontId="9" fillId="0" borderId="0" xfId="534" applyFont="1" applyAlignment="1">
      <alignment horizontal="right"/>
    </xf>
    <xf numFmtId="172" fontId="28" fillId="0" borderId="0" xfId="529" applyFont="1" applyAlignment="1">
      <alignment horizontal="right"/>
    </xf>
    <xf numFmtId="173" fontId="6" fillId="0" borderId="0" xfId="530" applyNumberFormat="1" applyFont="1"/>
    <xf numFmtId="172" fontId="6" fillId="0" borderId="0" xfId="534" applyFont="1" applyAlignment="1">
      <alignment horizontal="right"/>
    </xf>
    <xf numFmtId="172" fontId="6" fillId="0" borderId="0" xfId="529" applyFont="1" applyAlignment="1">
      <alignment horizontal="right"/>
    </xf>
    <xf numFmtId="2" fontId="6" fillId="0" borderId="0" xfId="534" applyNumberFormat="1" applyFont="1" applyAlignment="1">
      <alignment horizontal="center"/>
    </xf>
    <xf numFmtId="172" fontId="6" fillId="0" borderId="0" xfId="534" applyFont="1" applyAlignment="1">
      <alignment horizontal="center"/>
    </xf>
    <xf numFmtId="172" fontId="6" fillId="0" borderId="0" xfId="534" applyFont="1" applyAlignment="1">
      <alignment wrapText="1"/>
    </xf>
    <xf numFmtId="172" fontId="6" fillId="0" borderId="0" xfId="534" applyFont="1" applyAlignment="1">
      <alignment horizontal="center" wrapText="1"/>
    </xf>
    <xf numFmtId="172" fontId="6" fillId="0" borderId="0" xfId="534" applyFont="1" applyFill="1" applyAlignment="1">
      <alignment horizontal="center" wrapText="1"/>
    </xf>
    <xf numFmtId="172" fontId="7" fillId="0" borderId="0" xfId="534" applyFill="1"/>
    <xf numFmtId="172" fontId="6" fillId="0" borderId="0" xfId="534" applyFont="1" applyFill="1"/>
    <xf numFmtId="2" fontId="13" fillId="0" borderId="0" xfId="534" applyNumberFormat="1" applyFont="1"/>
    <xf numFmtId="173" fontId="6" fillId="0" borderId="0" xfId="530" applyNumberFormat="1" applyFont="1" applyFill="1"/>
    <xf numFmtId="1" fontId="6" fillId="0" borderId="0" xfId="534" applyNumberFormat="1" applyFont="1" applyAlignment="1">
      <alignment horizontal="center"/>
    </xf>
    <xf numFmtId="49" fontId="6" fillId="0" borderId="0" xfId="530" applyNumberFormat="1" applyFont="1"/>
    <xf numFmtId="170" fontId="6" fillId="0" borderId="0" xfId="534" applyNumberFormat="1" applyFont="1"/>
    <xf numFmtId="172" fontId="7" fillId="0" borderId="0" xfId="534" applyFill="1" applyAlignment="1">
      <alignment horizontal="center"/>
    </xf>
    <xf numFmtId="9" fontId="6" fillId="0" borderId="0" xfId="532" applyNumberFormat="1" applyFont="1" applyFill="1" applyAlignment="1">
      <alignment horizontal="center"/>
    </xf>
    <xf numFmtId="10" fontId="6" fillId="0" borderId="0" xfId="532" applyNumberFormat="1" applyFont="1" applyFill="1" applyAlignment="1"/>
    <xf numFmtId="9" fontId="6" fillId="0" borderId="0" xfId="532" applyFont="1" applyFill="1"/>
    <xf numFmtId="10" fontId="6" fillId="0" borderId="0" xfId="532" applyNumberFormat="1" applyFont="1" applyFill="1" applyAlignment="1">
      <alignment horizontal="center" wrapText="1"/>
    </xf>
    <xf numFmtId="9" fontId="6" fillId="0" borderId="0" xfId="530" applyNumberFormat="1" applyFont="1" applyFill="1" applyAlignment="1">
      <alignment horizontal="center"/>
    </xf>
    <xf numFmtId="43" fontId="6" fillId="0" borderId="0" xfId="530" applyNumberFormat="1" applyFont="1" applyFill="1"/>
    <xf numFmtId="10" fontId="6" fillId="0" borderId="0" xfId="532" applyNumberFormat="1" applyFont="1" applyFill="1"/>
    <xf numFmtId="173" fontId="6" fillId="0" borderId="49" xfId="530" applyNumberFormat="1" applyFont="1" applyFill="1" applyBorder="1"/>
    <xf numFmtId="173" fontId="6" fillId="0" borderId="0" xfId="530" applyNumberFormat="1" applyFont="1" applyFill="1" applyBorder="1"/>
    <xf numFmtId="9" fontId="6" fillId="0" borderId="0" xfId="530" applyNumberFormat="1" applyFont="1" applyFill="1" applyBorder="1" applyAlignment="1">
      <alignment horizontal="center"/>
    </xf>
    <xf numFmtId="10" fontId="6" fillId="0" borderId="0" xfId="532" applyNumberFormat="1" applyFont="1"/>
    <xf numFmtId="1" fontId="13" fillId="0" borderId="0" xfId="534" applyNumberFormat="1" applyFont="1" applyAlignment="1">
      <alignment horizontal="left"/>
    </xf>
    <xf numFmtId="43" fontId="6" fillId="0" borderId="0" xfId="530" applyNumberFormat="1" applyFont="1"/>
    <xf numFmtId="10" fontId="6" fillId="0" borderId="0" xfId="530" applyNumberFormat="1" applyFont="1" applyFill="1" applyBorder="1" applyAlignment="1">
      <alignment horizontal="center"/>
    </xf>
    <xf numFmtId="172" fontId="7" fillId="0" borderId="0" xfId="534"/>
    <xf numFmtId="2" fontId="7" fillId="0" borderId="0" xfId="534" applyNumberFormat="1"/>
    <xf numFmtId="9" fontId="6" fillId="0" borderId="0" xfId="532" applyFont="1"/>
    <xf numFmtId="2" fontId="6" fillId="0" borderId="0" xfId="534" applyNumberFormat="1" applyFont="1" applyAlignment="1">
      <alignment horizontal="left" wrapText="1"/>
    </xf>
    <xf numFmtId="170" fontId="1" fillId="0" borderId="0" xfId="533" applyNumberFormat="1"/>
    <xf numFmtId="170" fontId="6" fillId="0" borderId="0" xfId="534" applyNumberFormat="1" applyFont="1" applyAlignment="1">
      <alignment horizontal="center"/>
    </xf>
    <xf numFmtId="170" fontId="6" fillId="0" borderId="0" xfId="534" applyNumberFormat="1" applyFont="1" applyAlignment="1">
      <alignment horizontal="center" wrapText="1"/>
    </xf>
    <xf numFmtId="170" fontId="6" fillId="0" borderId="0" xfId="530" applyNumberFormat="1" applyFont="1"/>
    <xf numFmtId="170" fontId="6" fillId="0" borderId="49" xfId="530" applyNumberFormat="1" applyFont="1" applyBorder="1"/>
    <xf numFmtId="170" fontId="6" fillId="0" borderId="0" xfId="530" applyNumberFormat="1" applyFont="1" applyBorder="1"/>
    <xf numFmtId="170" fontId="7" fillId="0" borderId="0" xfId="534" applyNumberFormat="1"/>
    <xf numFmtId="200" fontId="1" fillId="0" borderId="0" xfId="536" applyNumberFormat="1" applyFont="1"/>
    <xf numFmtId="177" fontId="1" fillId="0" borderId="0" xfId="535" applyNumberFormat="1" applyFont="1"/>
    <xf numFmtId="173" fontId="1" fillId="0" borderId="0" xfId="535" applyNumberFormat="1" applyFont="1"/>
    <xf numFmtId="200" fontId="1" fillId="0" borderId="11" xfId="536" applyNumberFormat="1" applyFont="1" applyBorder="1"/>
    <xf numFmtId="177" fontId="6" fillId="0" borderId="0" xfId="532" applyNumberFormat="1" applyFont="1" applyFill="1"/>
    <xf numFmtId="173" fontId="6" fillId="0" borderId="0" xfId="532" applyNumberFormat="1" applyFont="1" applyFill="1"/>
    <xf numFmtId="10" fontId="6" fillId="0" borderId="0" xfId="532" applyNumberFormat="1" applyFont="1" applyFill="1" applyAlignment="1">
      <alignment horizontal="center"/>
    </xf>
    <xf numFmtId="41" fontId="23" fillId="32" borderId="0" xfId="259" applyNumberFormat="1" applyFont="1" applyFill="1" applyProtection="1">
      <protection locked="0"/>
    </xf>
    <xf numFmtId="41" fontId="27" fillId="0" borderId="0" xfId="259" applyNumberFormat="1" applyFont="1" applyProtection="1"/>
    <xf numFmtId="10" fontId="23" fillId="32" borderId="0" xfId="0" applyNumberFormat="1" applyFont="1" applyFill="1" applyBorder="1" applyAlignment="1" applyProtection="1">
      <protection locked="0"/>
    </xf>
    <xf numFmtId="10" fontId="23" fillId="32" borderId="11" xfId="0" applyNumberFormat="1" applyFont="1" applyFill="1" applyBorder="1" applyAlignment="1" applyProtection="1">
      <protection locked="0"/>
    </xf>
    <xf numFmtId="173" fontId="12" fillId="32" borderId="57" xfId="89" applyNumberFormat="1" applyFont="1" applyFill="1" applyBorder="1" applyAlignment="1">
      <alignment horizontal="right"/>
    </xf>
    <xf numFmtId="173" fontId="12" fillId="32" borderId="33" xfId="89" applyNumberFormat="1" applyFont="1" applyFill="1" applyBorder="1" applyAlignment="1">
      <alignment horizontal="right"/>
    </xf>
    <xf numFmtId="173" fontId="12" fillId="32" borderId="37" xfId="89" applyNumberFormat="1" applyFont="1" applyFill="1" applyBorder="1" applyAlignment="1">
      <alignment horizontal="right"/>
    </xf>
    <xf numFmtId="0" fontId="9" fillId="0" borderId="0" xfId="0" applyFont="1" applyFill="1" applyAlignment="1" applyProtection="1">
      <alignment horizontal="left" vertical="top" wrapText="1"/>
    </xf>
    <xf numFmtId="172" fontId="10" fillId="0" borderId="11" xfId="259" applyFont="1" applyBorder="1" applyAlignment="1" applyProtection="1">
      <alignment horizontal="center"/>
    </xf>
    <xf numFmtId="172" fontId="143" fillId="0" borderId="0" xfId="259" applyFont="1" applyFill="1" applyAlignment="1" applyProtection="1">
      <alignment vertical="top" wrapText="1"/>
    </xf>
    <xf numFmtId="0" fontId="138" fillId="0" borderId="0" xfId="0" applyFont="1" applyFill="1" applyAlignment="1" applyProtection="1">
      <alignment vertical="top" wrapText="1"/>
    </xf>
    <xf numFmtId="172" fontId="30" fillId="0" borderId="0" xfId="259" applyFont="1" applyFill="1" applyAlignment="1" applyProtection="1">
      <alignment wrapText="1"/>
    </xf>
    <xf numFmtId="172" fontId="9" fillId="0" borderId="0" xfId="259" applyFont="1" applyFill="1" applyAlignment="1" applyProtection="1">
      <alignment vertical="top" wrapText="1"/>
    </xf>
    <xf numFmtId="0" fontId="9" fillId="0" borderId="0" xfId="0" applyFont="1" applyFill="1" applyAlignment="1" applyProtection="1">
      <alignment vertical="top" wrapText="1"/>
    </xf>
    <xf numFmtId="0" fontId="9" fillId="0" borderId="0" xfId="0" applyFont="1" applyFill="1" applyAlignment="1" applyProtection="1">
      <alignment wrapText="1"/>
    </xf>
    <xf numFmtId="172" fontId="122" fillId="0" borderId="0" xfId="259" applyFont="1" applyFill="1" applyAlignment="1" applyProtection="1">
      <alignment wrapText="1"/>
    </xf>
    <xf numFmtId="0" fontId="16" fillId="0" borderId="0" xfId="0" applyFont="1" applyAlignment="1" applyProtection="1">
      <alignment wrapText="1"/>
    </xf>
    <xf numFmtId="0" fontId="36" fillId="0" borderId="0" xfId="0" applyFont="1" applyAlignment="1" applyProtection="1">
      <alignment wrapText="1"/>
    </xf>
    <xf numFmtId="0" fontId="30" fillId="0" borderId="0" xfId="259" applyNumberFormat="1" applyFont="1" applyFill="1" applyAlignment="1" applyProtection="1">
      <alignment horizontal="left" wrapText="1"/>
    </xf>
    <xf numFmtId="3" fontId="9" fillId="0" borderId="0" xfId="259" applyNumberFormat="1" applyFont="1" applyAlignment="1" applyProtection="1">
      <alignment horizontal="left" wrapText="1"/>
    </xf>
    <xf numFmtId="0" fontId="16" fillId="0" borderId="0" xfId="0" applyFont="1" applyAlignment="1" applyProtection="1">
      <alignment horizontal="left" wrapText="1"/>
    </xf>
    <xf numFmtId="3" fontId="169" fillId="0" borderId="0" xfId="259" applyNumberFormat="1" applyFont="1" applyFill="1" applyAlignment="1" applyProtection="1">
      <alignment horizontal="center"/>
    </xf>
    <xf numFmtId="172" fontId="9" fillId="0" borderId="0" xfId="259" applyFont="1" applyAlignment="1" applyProtection="1">
      <alignment horizontal="left" wrapText="1"/>
    </xf>
    <xf numFmtId="0" fontId="9" fillId="0" borderId="0" xfId="259" applyNumberFormat="1" applyFont="1" applyFill="1" applyAlignment="1" applyProtection="1">
      <alignment horizontal="left" wrapText="1"/>
    </xf>
    <xf numFmtId="0" fontId="9" fillId="0" borderId="0" xfId="0" applyFont="1" applyAlignment="1" applyProtection="1">
      <alignment wrapText="1"/>
    </xf>
    <xf numFmtId="0" fontId="9" fillId="0" borderId="0" xfId="259" applyNumberFormat="1" applyFont="1" applyFill="1" applyAlignment="1" applyProtection="1">
      <alignment horizontal="left" vertical="top" wrapText="1"/>
    </xf>
    <xf numFmtId="172" fontId="9" fillId="0" borderId="0" xfId="259" applyFont="1" applyFill="1" applyAlignment="1" applyProtection="1">
      <alignment horizontal="left" wrapText="1"/>
    </xf>
    <xf numFmtId="172" fontId="30" fillId="0" borderId="0" xfId="259" applyFont="1" applyFill="1" applyAlignment="1" applyProtection="1">
      <alignment vertical="top" wrapText="1"/>
    </xf>
    <xf numFmtId="0" fontId="30" fillId="0" borderId="0" xfId="0" applyFont="1" applyAlignment="1" applyProtection="1">
      <alignment vertical="top" wrapText="1"/>
    </xf>
    <xf numFmtId="172" fontId="9" fillId="0" borderId="0" xfId="259" applyFont="1" applyAlignment="1" applyProtection="1">
      <alignment horizontal="left"/>
    </xf>
    <xf numFmtId="172" fontId="80" fillId="0" borderId="0" xfId="259" applyFont="1" applyAlignment="1" applyProtection="1">
      <alignment horizontal="left" wrapText="1"/>
    </xf>
    <xf numFmtId="49" fontId="9" fillId="0" borderId="0" xfId="259" applyNumberFormat="1" applyFont="1" applyAlignment="1" applyProtection="1">
      <alignment horizontal="center"/>
    </xf>
    <xf numFmtId="0" fontId="36" fillId="0" borderId="0" xfId="0" applyFont="1" applyAlignment="1" applyProtection="1">
      <alignment horizontal="center"/>
    </xf>
    <xf numFmtId="0" fontId="14" fillId="0" borderId="0" xfId="259" applyNumberFormat="1" applyFont="1" applyAlignment="1" applyProtection="1">
      <alignment horizontal="center"/>
    </xf>
    <xf numFmtId="0" fontId="17" fillId="0" borderId="0" xfId="0" applyFont="1" applyAlignment="1" applyProtection="1"/>
    <xf numFmtId="0" fontId="0" fillId="0" borderId="0" xfId="0" applyAlignment="1" applyProtection="1">
      <alignment horizontal="center"/>
    </xf>
    <xf numFmtId="0" fontId="9" fillId="0" borderId="0" xfId="0" applyFont="1" applyAlignment="1">
      <alignment horizontal="center"/>
    </xf>
    <xf numFmtId="0" fontId="9" fillId="0" borderId="0" xfId="211" applyFont="1" applyBorder="1" applyAlignment="1">
      <alignment horizontal="center"/>
    </xf>
    <xf numFmtId="0" fontId="13" fillId="0" borderId="47" xfId="262" applyFont="1" applyBorder="1" applyAlignment="1">
      <alignment horizontal="center" wrapText="1"/>
    </xf>
    <xf numFmtId="0" fontId="13" fillId="0" borderId="13" xfId="262" applyFont="1" applyBorder="1" applyAlignment="1">
      <alignment horizontal="center" wrapText="1"/>
    </xf>
    <xf numFmtId="0" fontId="13" fillId="0" borderId="48" xfId="262" applyFont="1" applyBorder="1" applyAlignment="1">
      <alignment horizontal="center" wrapText="1"/>
    </xf>
    <xf numFmtId="0" fontId="13" fillId="0" borderId="47" xfId="189" applyFont="1" applyBorder="1" applyAlignment="1">
      <alignment horizontal="center"/>
    </xf>
    <xf numFmtId="0" fontId="13" fillId="0" borderId="13" xfId="189" applyFont="1" applyBorder="1" applyAlignment="1">
      <alignment horizontal="center"/>
    </xf>
    <xf numFmtId="0" fontId="13" fillId="0" borderId="48" xfId="189" applyFont="1" applyBorder="1" applyAlignment="1">
      <alignment horizontal="center"/>
    </xf>
    <xf numFmtId="3" fontId="9" fillId="0" borderId="0" xfId="211" applyNumberFormat="1" applyFont="1" applyBorder="1" applyAlignment="1">
      <alignment horizontal="center"/>
    </xf>
    <xf numFmtId="0" fontId="16" fillId="0" borderId="0" xfId="211" applyFont="1" applyFill="1" applyBorder="1" applyAlignment="1">
      <alignment horizontal="left" wrapText="1"/>
    </xf>
    <xf numFmtId="0" fontId="21" fillId="0" borderId="0" xfId="249" applyFont="1" applyAlignment="1">
      <alignment horizontal="center" wrapText="1"/>
    </xf>
    <xf numFmtId="0" fontId="17" fillId="0" borderId="0" xfId="0" applyFont="1" applyAlignment="1">
      <alignment horizontal="center" wrapText="1"/>
    </xf>
    <xf numFmtId="3" fontId="9" fillId="0" borderId="0" xfId="0" applyNumberFormat="1" applyFont="1" applyAlignment="1">
      <alignment horizontal="center"/>
    </xf>
    <xf numFmtId="0" fontId="21" fillId="0" borderId="0" xfId="211" quotePrefix="1" applyFont="1" applyBorder="1" applyAlignment="1">
      <alignment horizontal="center" wrapText="1"/>
    </xf>
    <xf numFmtId="41" fontId="28" fillId="32" borderId="34" xfId="249" applyNumberFormat="1" applyFont="1" applyFill="1" applyBorder="1" applyAlignment="1" applyProtection="1">
      <alignment vertical="center"/>
      <protection locked="0"/>
    </xf>
    <xf numFmtId="172" fontId="28" fillId="0" borderId="0" xfId="525" applyFont="1" applyAlignment="1">
      <alignment horizontal="center" wrapText="1"/>
    </xf>
    <xf numFmtId="172" fontId="28" fillId="0" borderId="11" xfId="525" applyFont="1" applyBorder="1" applyAlignment="1">
      <alignment horizontal="center"/>
    </xf>
    <xf numFmtId="0" fontId="28" fillId="0" borderId="11" xfId="0" applyFont="1" applyBorder="1" applyAlignment="1">
      <alignment horizontal="center"/>
    </xf>
    <xf numFmtId="172" fontId="28" fillId="0" borderId="11" xfId="525" applyFont="1" applyBorder="1" applyAlignment="1">
      <alignment horizontal="center" wrapText="1"/>
    </xf>
    <xf numFmtId="172" fontId="29" fillId="0" borderId="0" xfId="525" applyFont="1" applyBorder="1" applyAlignment="1">
      <alignment horizontal="center" wrapText="1"/>
    </xf>
    <xf numFmtId="41" fontId="28" fillId="32" borderId="34" xfId="249" applyNumberFormat="1" applyFont="1" applyFill="1" applyBorder="1" applyAlignment="1" applyProtection="1">
      <alignment horizontal="left" vertical="center" wrapText="1"/>
      <protection locked="0"/>
    </xf>
    <xf numFmtId="172" fontId="28" fillId="0" borderId="0" xfId="525" applyFont="1" applyAlignment="1">
      <alignment horizontal="left" wrapText="1"/>
    </xf>
    <xf numFmtId="172" fontId="28" fillId="0" borderId="0" xfId="525" applyFont="1" applyAlignment="1">
      <alignment horizontal="left" vertical="top" wrapText="1"/>
    </xf>
    <xf numFmtId="2" fontId="6" fillId="0" borderId="0" xfId="529" applyNumberFormat="1" applyFont="1" applyAlignment="1">
      <alignment horizontal="left" wrapText="1"/>
    </xf>
    <xf numFmtId="41" fontId="13" fillId="0" borderId="11" xfId="249" applyNumberFormat="1" applyFont="1" applyFill="1" applyBorder="1" applyAlignment="1" applyProtection="1">
      <alignment horizontal="center"/>
      <protection locked="0"/>
    </xf>
    <xf numFmtId="172" fontId="6" fillId="0" borderId="0" xfId="529" applyFont="1" applyAlignment="1">
      <alignment horizontal="center" wrapText="1"/>
    </xf>
    <xf numFmtId="172" fontId="6" fillId="0" borderId="0" xfId="529" applyFont="1" applyAlignment="1">
      <alignment horizontal="left" wrapText="1"/>
    </xf>
    <xf numFmtId="2" fontId="6" fillId="0" borderId="0" xfId="534" applyNumberFormat="1" applyFont="1" applyAlignment="1">
      <alignment horizontal="left" wrapText="1"/>
    </xf>
    <xf numFmtId="172" fontId="6" fillId="0" borderId="0" xfId="534" applyFont="1" applyAlignment="1">
      <alignment horizontal="center" wrapText="1"/>
    </xf>
    <xf numFmtId="172" fontId="6" fillId="0" borderId="0" xfId="534" applyFont="1" applyAlignment="1">
      <alignment horizontal="left" wrapText="1"/>
    </xf>
    <xf numFmtId="172" fontId="6" fillId="0" borderId="0" xfId="534" applyFont="1" applyAlignment="1">
      <alignment horizontal="left" vertical="top" wrapText="1"/>
    </xf>
    <xf numFmtId="0" fontId="16" fillId="0" borderId="0" xfId="211" applyNumberFormat="1" applyFont="1" applyFill="1" applyBorder="1" applyAlignment="1">
      <alignment horizontal="left" wrapText="1"/>
    </xf>
    <xf numFmtId="0" fontId="84" fillId="0" borderId="0" xfId="211" applyNumberFormat="1" applyFont="1" applyFill="1" applyBorder="1" applyAlignment="1">
      <alignment horizontal="center"/>
    </xf>
    <xf numFmtId="0" fontId="84" fillId="0" borderId="0" xfId="249" applyFont="1" applyFill="1" applyAlignment="1">
      <alignment horizontal="center"/>
    </xf>
    <xf numFmtId="0" fontId="21" fillId="0" borderId="0" xfId="249" applyFont="1" applyBorder="1" applyAlignment="1">
      <alignment horizontal="center" wrapText="1"/>
    </xf>
    <xf numFmtId="0" fontId="17" fillId="0" borderId="0" xfId="0" applyFont="1" applyBorder="1" applyAlignment="1">
      <alignment horizontal="center" wrapText="1"/>
    </xf>
    <xf numFmtId="0" fontId="84" fillId="0" borderId="0" xfId="0" applyFont="1" applyFill="1" applyAlignment="1">
      <alignment horizontal="center"/>
    </xf>
    <xf numFmtId="0" fontId="9" fillId="0" borderId="0" xfId="0" applyFont="1" applyAlignment="1" applyProtection="1">
      <alignment horizontal="center"/>
    </xf>
    <xf numFmtId="0" fontId="9" fillId="0" borderId="0" xfId="211" applyFont="1" applyBorder="1" applyAlignment="1" applyProtection="1">
      <alignment horizontal="center"/>
    </xf>
    <xf numFmtId="3" fontId="9" fillId="0" borderId="0" xfId="0" applyNumberFormat="1" applyFont="1" applyAlignment="1" applyProtection="1">
      <alignment horizontal="center"/>
    </xf>
    <xf numFmtId="172" fontId="16" fillId="0" borderId="0" xfId="259" applyFont="1" applyFill="1" applyAlignment="1" applyProtection="1">
      <alignment horizontal="left" vertical="top" wrapText="1"/>
    </xf>
    <xf numFmtId="0" fontId="13" fillId="0" borderId="0" xfId="263" applyFont="1" applyFill="1" applyAlignment="1" applyProtection="1">
      <alignment wrapText="1"/>
    </xf>
    <xf numFmtId="3" fontId="8" fillId="0" borderId="0" xfId="0" applyNumberFormat="1" applyFont="1" applyAlignment="1" applyProtection="1">
      <alignment horizontal="center"/>
    </xf>
    <xf numFmtId="0" fontId="14" fillId="0" borderId="0" xfId="263" applyFont="1" applyFill="1" applyAlignment="1" applyProtection="1">
      <alignment horizontal="center"/>
    </xf>
    <xf numFmtId="3" fontId="8" fillId="0" borderId="0" xfId="0" applyNumberFormat="1" applyFont="1" applyAlignment="1">
      <alignment horizontal="center"/>
    </xf>
    <xf numFmtId="0" fontId="16" fillId="0" borderId="0" xfId="0" applyFont="1" applyAlignment="1">
      <alignment vertical="top" wrapText="1"/>
    </xf>
    <xf numFmtId="0" fontId="78" fillId="0" borderId="11" xfId="260" applyFont="1" applyBorder="1" applyAlignment="1">
      <alignment horizontal="center"/>
    </xf>
    <xf numFmtId="0" fontId="75" fillId="0" borderId="0" xfId="260" applyFont="1" applyFill="1" applyAlignment="1">
      <alignment horizontal="left" wrapText="1"/>
    </xf>
    <xf numFmtId="0" fontId="75" fillId="0" borderId="0" xfId="260" applyFont="1" applyFill="1" applyAlignment="1">
      <alignment wrapText="1"/>
    </xf>
    <xf numFmtId="0" fontId="8" fillId="0" borderId="0" xfId="211" applyFont="1" applyBorder="1" applyAlignment="1">
      <alignment horizontal="center"/>
    </xf>
    <xf numFmtId="0" fontId="8" fillId="0" borderId="0" xfId="0" applyFont="1" applyAlignment="1">
      <alignment horizontal="center"/>
    </xf>
    <xf numFmtId="0" fontId="73" fillId="32" borderId="0" xfId="0" applyFont="1" applyFill="1" applyAlignment="1" applyProtection="1">
      <alignment horizontal="left"/>
      <protection locked="0"/>
    </xf>
    <xf numFmtId="173" fontId="103" fillId="0" borderId="0" xfId="88" applyNumberFormat="1" applyFont="1" applyBorder="1" applyAlignment="1" applyProtection="1">
      <alignment horizontal="center"/>
    </xf>
    <xf numFmtId="0" fontId="0" fillId="0" borderId="0" xfId="0" applyNumberFormat="1" applyAlignment="1" applyProtection="1">
      <alignment horizontal="left" wrapText="1"/>
    </xf>
    <xf numFmtId="172" fontId="6" fillId="0" borderId="21" xfId="259" applyFont="1" applyBorder="1" applyAlignment="1" applyProtection="1">
      <alignment wrapText="1"/>
    </xf>
    <xf numFmtId="0" fontId="6" fillId="0" borderId="15" xfId="0" applyFont="1" applyBorder="1" applyAlignment="1" applyProtection="1">
      <alignment wrapText="1"/>
    </xf>
    <xf numFmtId="0" fontId="6" fillId="0" borderId="25" xfId="0" applyFont="1" applyBorder="1" applyAlignment="1" applyProtection="1">
      <alignment wrapText="1"/>
    </xf>
    <xf numFmtId="0" fontId="6" fillId="0" borderId="17" xfId="0" applyFont="1" applyBorder="1" applyAlignment="1" applyProtection="1">
      <alignment wrapText="1"/>
    </xf>
    <xf numFmtId="0" fontId="6" fillId="0" borderId="0" xfId="0" applyFont="1" applyBorder="1" applyAlignment="1" applyProtection="1">
      <alignment wrapText="1"/>
    </xf>
    <xf numFmtId="0" fontId="6" fillId="0" borderId="18" xfId="0" applyFont="1" applyBorder="1" applyAlignment="1" applyProtection="1">
      <alignment wrapText="1"/>
    </xf>
    <xf numFmtId="0" fontId="8" fillId="0" borderId="0" xfId="0" applyFont="1" applyFill="1" applyAlignment="1" applyProtection="1">
      <alignment wrapText="1"/>
    </xf>
    <xf numFmtId="0" fontId="0" fillId="0" borderId="0" xfId="0" applyAlignment="1" applyProtection="1">
      <alignment wrapText="1"/>
    </xf>
    <xf numFmtId="0" fontId="16" fillId="0" borderId="0" xfId="0" applyFont="1" applyFill="1" applyBorder="1" applyAlignment="1" applyProtection="1">
      <alignment wrapText="1"/>
    </xf>
    <xf numFmtId="173" fontId="103" fillId="0" borderId="0" xfId="86" applyNumberFormat="1" applyFont="1" applyBorder="1" applyAlignment="1" applyProtection="1">
      <alignment horizontal="center"/>
    </xf>
    <xf numFmtId="0" fontId="16" fillId="0" borderId="0" xfId="252" applyFont="1" applyFill="1" applyAlignment="1" applyProtection="1">
      <alignment horizontal="left" wrapText="1"/>
    </xf>
    <xf numFmtId="0" fontId="16" fillId="0" borderId="0" xfId="183" applyFont="1" applyFill="1" applyAlignment="1" applyProtection="1">
      <alignment wrapText="1"/>
    </xf>
    <xf numFmtId="0" fontId="96" fillId="0" borderId="0" xfId="252" applyFont="1" applyFill="1" applyAlignment="1" applyProtection="1">
      <alignment horizontal="left" wrapText="1"/>
    </xf>
    <xf numFmtId="0" fontId="67" fillId="0" borderId="0" xfId="0" applyFont="1" applyAlignment="1" applyProtection="1">
      <alignment vertical="top" wrapText="1"/>
    </xf>
    <xf numFmtId="0" fontId="16" fillId="0" borderId="0" xfId="0" applyFont="1" applyAlignment="1" applyProtection="1">
      <alignment vertical="top" wrapText="1"/>
    </xf>
    <xf numFmtId="41" fontId="13" fillId="0" borderId="0" xfId="252" applyNumberFormat="1" applyFont="1" applyFill="1" applyBorder="1" applyAlignment="1" applyProtection="1">
      <alignment horizontal="center" wrapText="1"/>
    </xf>
    <xf numFmtId="0" fontId="13" fillId="0" borderId="47" xfId="0" applyFont="1" applyBorder="1" applyAlignment="1">
      <alignment horizontal="center"/>
    </xf>
    <xf numFmtId="0" fontId="13" fillId="0" borderId="13" xfId="0" applyFont="1" applyBorder="1" applyAlignment="1">
      <alignment horizontal="center"/>
    </xf>
    <xf numFmtId="0" fontId="13" fillId="0" borderId="48" xfId="0" applyFont="1" applyBorder="1" applyAlignment="1">
      <alignment horizontal="center"/>
    </xf>
    <xf numFmtId="0" fontId="13" fillId="0" borderId="0" xfId="0" applyFont="1" applyAlignment="1">
      <alignment horizontal="center" wrapText="1"/>
    </xf>
    <xf numFmtId="0" fontId="0" fillId="0" borderId="0" xfId="0" applyAlignment="1">
      <alignment wrapText="1"/>
    </xf>
    <xf numFmtId="0" fontId="0" fillId="0" borderId="0" xfId="0" applyAlignment="1">
      <alignment horizontal="center"/>
    </xf>
    <xf numFmtId="0" fontId="13" fillId="0" borderId="0" xfId="0" applyFont="1" applyAlignment="1">
      <alignment horizontal="left" wrapText="1"/>
    </xf>
    <xf numFmtId="0" fontId="102" fillId="0" borderId="0" xfId="0" applyFont="1" applyAlignment="1">
      <alignment horizontal="center" wrapText="1"/>
    </xf>
    <xf numFmtId="0" fontId="24" fillId="32" borderId="0" xfId="0" applyFont="1" applyFill="1" applyAlignment="1" applyProtection="1">
      <alignment wrapText="1"/>
      <protection locked="0"/>
    </xf>
    <xf numFmtId="0" fontId="148" fillId="0" borderId="0" xfId="0" applyFont="1" applyAlignment="1">
      <alignment wrapText="1"/>
    </xf>
    <xf numFmtId="0" fontId="148" fillId="0" borderId="0" xfId="0" applyFont="1" applyFill="1" applyAlignment="1">
      <alignment horizontal="left" wrapText="1"/>
    </xf>
    <xf numFmtId="0" fontId="150" fillId="0" borderId="0" xfId="0" applyFont="1" applyAlignment="1">
      <alignment horizontal="center"/>
    </xf>
    <xf numFmtId="0" fontId="150" fillId="0" borderId="0" xfId="0" applyFont="1" applyAlignment="1">
      <alignment horizontal="center" wrapText="1"/>
    </xf>
    <xf numFmtId="173" fontId="150" fillId="0" borderId="0" xfId="111" applyNumberFormat="1" applyFont="1" applyAlignment="1">
      <alignment horizontal="center" wrapText="1"/>
    </xf>
    <xf numFmtId="0" fontId="156" fillId="0" borderId="0" xfId="0" applyFont="1" applyAlignment="1">
      <alignment horizontal="left" wrapText="1"/>
    </xf>
    <xf numFmtId="0" fontId="143" fillId="0" borderId="0" xfId="0" applyFont="1" applyAlignment="1">
      <alignment horizontal="center"/>
    </xf>
    <xf numFmtId="0" fontId="143" fillId="0" borderId="0" xfId="211" applyFont="1" applyBorder="1" applyAlignment="1">
      <alignment horizontal="center"/>
    </xf>
    <xf numFmtId="0" fontId="148" fillId="0" borderId="0" xfId="0" applyFont="1" applyAlignment="1">
      <alignment horizontal="center"/>
    </xf>
    <xf numFmtId="0" fontId="143" fillId="0" borderId="0" xfId="211" applyFont="1" applyFill="1" applyBorder="1" applyAlignment="1">
      <alignment horizontal="center"/>
    </xf>
    <xf numFmtId="3" fontId="143" fillId="0" borderId="0" xfId="0" applyNumberFormat="1" applyFont="1" applyAlignment="1">
      <alignment horizontal="center"/>
    </xf>
    <xf numFmtId="0" fontId="7" fillId="0" borderId="0" xfId="261" applyFont="1" applyAlignment="1" applyProtection="1">
      <alignment horizontal="left" wrapText="1"/>
    </xf>
    <xf numFmtId="0" fontId="9" fillId="0" borderId="0" xfId="258" applyFont="1" applyAlignment="1" applyProtection="1">
      <alignment vertical="top" wrapText="1"/>
    </xf>
    <xf numFmtId="0" fontId="7" fillId="0" borderId="0" xfId="0" applyFont="1" applyAlignment="1" applyProtection="1">
      <alignment vertical="top" wrapText="1"/>
    </xf>
    <xf numFmtId="3" fontId="113" fillId="0" borderId="0" xfId="261" applyNumberFormat="1" applyFont="1" applyAlignment="1" applyProtection="1">
      <alignment horizontal="center"/>
    </xf>
    <xf numFmtId="0" fontId="113" fillId="0" borderId="0" xfId="261" applyFont="1" applyAlignment="1" applyProtection="1">
      <alignment horizontal="center"/>
    </xf>
    <xf numFmtId="44" fontId="113" fillId="0" borderId="0" xfId="117" applyFont="1" applyAlignment="1" applyProtection="1">
      <alignment horizontal="center"/>
    </xf>
    <xf numFmtId="0" fontId="80" fillId="0" borderId="30" xfId="261" applyFont="1" applyBorder="1" applyAlignment="1" applyProtection="1">
      <alignment horizontal="center"/>
    </xf>
    <xf numFmtId="0" fontId="113" fillId="0" borderId="0" xfId="261" applyFont="1" applyAlignment="1">
      <alignment horizontal="center"/>
    </xf>
    <xf numFmtId="0" fontId="9" fillId="0" borderId="0" xfId="404" applyFont="1" applyAlignment="1">
      <alignment wrapText="1"/>
    </xf>
    <xf numFmtId="44" fontId="113" fillId="0" borderId="0" xfId="376" applyFont="1" applyAlignment="1">
      <alignment horizontal="center"/>
    </xf>
    <xf numFmtId="0" fontId="80" fillId="0" borderId="30" xfId="261" applyFont="1" applyBorder="1" applyAlignment="1">
      <alignment horizontal="center"/>
    </xf>
    <xf numFmtId="0" fontId="80" fillId="0" borderId="0" xfId="404" applyFont="1" applyAlignment="1">
      <alignment vertical="top" wrapText="1"/>
    </xf>
    <xf numFmtId="0" fontId="6" fillId="0" borderId="0" xfId="404" applyAlignment="1">
      <alignment vertical="top" wrapText="1"/>
    </xf>
    <xf numFmtId="0" fontId="9" fillId="0" borderId="0" xfId="528" applyFont="1" applyAlignment="1">
      <alignment vertical="top" wrapText="1"/>
    </xf>
    <xf numFmtId="0" fontId="7" fillId="0" borderId="0" xfId="261" applyAlignment="1">
      <alignment wrapText="1"/>
    </xf>
    <xf numFmtId="0" fontId="9" fillId="0" borderId="0" xfId="165" applyFont="1" applyAlignment="1">
      <alignment vertical="top" wrapText="1"/>
    </xf>
    <xf numFmtId="0" fontId="144" fillId="0" borderId="0" xfId="261" applyFont="1" applyAlignment="1">
      <alignment horizontal="center"/>
    </xf>
    <xf numFmtId="0" fontId="9" fillId="0" borderId="0" xfId="404" applyFont="1" applyAlignment="1">
      <alignment vertical="top" wrapText="1"/>
    </xf>
    <xf numFmtId="0" fontId="80" fillId="0" borderId="0" xfId="0" applyFont="1" applyAlignment="1" applyProtection="1">
      <alignment horizontal="center"/>
    </xf>
    <xf numFmtId="0" fontId="10" fillId="0" borderId="0" xfId="0" applyFont="1" applyFill="1" applyAlignment="1" applyProtection="1">
      <alignment horizontal="center"/>
    </xf>
    <xf numFmtId="0" fontId="126" fillId="0" borderId="0" xfId="0" applyFont="1" applyFill="1" applyAlignment="1" applyProtection="1">
      <alignment horizontal="center" wrapText="1"/>
    </xf>
  </cellXfs>
  <cellStyles count="537">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00A" xfId="51" xr:uid="{00000000-0005-0000-0000-000032000000}"/>
    <cellStyle name="C00B" xfId="52" xr:uid="{00000000-0005-0000-0000-000033000000}"/>
    <cellStyle name="C00L" xfId="53" xr:uid="{00000000-0005-0000-0000-000034000000}"/>
    <cellStyle name="C01A" xfId="54" xr:uid="{00000000-0005-0000-0000-000035000000}"/>
    <cellStyle name="C01B" xfId="55" xr:uid="{00000000-0005-0000-0000-000036000000}"/>
    <cellStyle name="C01B 2" xfId="339" xr:uid="{00000000-0005-0000-0000-000037000000}"/>
    <cellStyle name="C01H" xfId="56" xr:uid="{00000000-0005-0000-0000-000038000000}"/>
    <cellStyle name="C01L" xfId="57" xr:uid="{00000000-0005-0000-0000-000039000000}"/>
    <cellStyle name="C02A" xfId="58" xr:uid="{00000000-0005-0000-0000-00003A000000}"/>
    <cellStyle name="C02B" xfId="59" xr:uid="{00000000-0005-0000-0000-00003B000000}"/>
    <cellStyle name="C02B 2" xfId="340" xr:uid="{00000000-0005-0000-0000-00003C000000}"/>
    <cellStyle name="C02H" xfId="60" xr:uid="{00000000-0005-0000-0000-00003D000000}"/>
    <cellStyle name="C02L" xfId="61" xr:uid="{00000000-0005-0000-0000-00003E000000}"/>
    <cellStyle name="C03A" xfId="62" xr:uid="{00000000-0005-0000-0000-00003F000000}"/>
    <cellStyle name="C03B" xfId="63" xr:uid="{00000000-0005-0000-0000-000040000000}"/>
    <cellStyle name="C03H" xfId="64" xr:uid="{00000000-0005-0000-0000-000041000000}"/>
    <cellStyle name="C03L" xfId="65" xr:uid="{00000000-0005-0000-0000-000042000000}"/>
    <cellStyle name="C04A" xfId="66" xr:uid="{00000000-0005-0000-0000-000043000000}"/>
    <cellStyle name="C04A 2" xfId="341" xr:uid="{00000000-0005-0000-0000-000044000000}"/>
    <cellStyle name="C04B" xfId="67" xr:uid="{00000000-0005-0000-0000-000045000000}"/>
    <cellStyle name="C04H" xfId="68" xr:uid="{00000000-0005-0000-0000-000046000000}"/>
    <cellStyle name="C04L" xfId="69" xr:uid="{00000000-0005-0000-0000-000047000000}"/>
    <cellStyle name="C05A" xfId="70" xr:uid="{00000000-0005-0000-0000-000048000000}"/>
    <cellStyle name="C05B" xfId="71" xr:uid="{00000000-0005-0000-0000-000049000000}"/>
    <cellStyle name="C05H" xfId="72" xr:uid="{00000000-0005-0000-0000-00004A000000}"/>
    <cellStyle name="C05L" xfId="73" xr:uid="{00000000-0005-0000-0000-00004B000000}"/>
    <cellStyle name="C05L 2" xfId="342" xr:uid="{00000000-0005-0000-0000-00004C000000}"/>
    <cellStyle name="C06A" xfId="74" xr:uid="{00000000-0005-0000-0000-00004D000000}"/>
    <cellStyle name="C06B" xfId="75" xr:uid="{00000000-0005-0000-0000-00004E000000}"/>
    <cellStyle name="C06H" xfId="76" xr:uid="{00000000-0005-0000-0000-00004F000000}"/>
    <cellStyle name="C06L" xfId="77" xr:uid="{00000000-0005-0000-0000-000050000000}"/>
    <cellStyle name="C07A" xfId="78" xr:uid="{00000000-0005-0000-0000-000051000000}"/>
    <cellStyle name="C07B" xfId="79" xr:uid="{00000000-0005-0000-0000-000052000000}"/>
    <cellStyle name="C07H" xfId="80" xr:uid="{00000000-0005-0000-0000-000053000000}"/>
    <cellStyle name="C07L" xfId="81" xr:uid="{00000000-0005-0000-0000-000054000000}"/>
    <cellStyle name="Calculation" xfId="82" builtinId="22" customBuiltin="1"/>
    <cellStyle name="Calculation 2" xfId="83" xr:uid="{00000000-0005-0000-0000-000056000000}"/>
    <cellStyle name="Check Cell" xfId="84" builtinId="23" customBuiltin="1"/>
    <cellStyle name="Check Cell 2" xfId="85" xr:uid="{00000000-0005-0000-0000-000058000000}"/>
    <cellStyle name="Comma" xfId="86" builtinId="3"/>
    <cellStyle name="Comma 10" xfId="343" xr:uid="{00000000-0005-0000-0000-00005A000000}"/>
    <cellStyle name="Comma 11" xfId="527" xr:uid="{00000000-0005-0000-0000-00005B000000}"/>
    <cellStyle name="Comma 12" xfId="530" xr:uid="{00000000-0005-0000-0000-00005C000000}"/>
    <cellStyle name="Comma 12 2" xfId="87" xr:uid="{00000000-0005-0000-0000-00005D000000}"/>
    <cellStyle name="Comma 12 2 2" xfId="344" xr:uid="{00000000-0005-0000-0000-00005E000000}"/>
    <cellStyle name="Comma 13" xfId="535" xr:uid="{C185D9B0-4659-4171-A49E-6C636B0DDC25}"/>
    <cellStyle name="Comma 2" xfId="88" xr:uid="{00000000-0005-0000-0000-00005F000000}"/>
    <cellStyle name="Comma 2 2" xfId="89" xr:uid="{00000000-0005-0000-0000-000060000000}"/>
    <cellStyle name="Comma 2 2 2" xfId="346" xr:uid="{00000000-0005-0000-0000-000061000000}"/>
    <cellStyle name="Comma 2 3" xfId="345" xr:uid="{00000000-0005-0000-0000-000062000000}"/>
    <cellStyle name="Comma 3" xfId="90" xr:uid="{00000000-0005-0000-0000-000063000000}"/>
    <cellStyle name="Comma 3 10" xfId="347" xr:uid="{00000000-0005-0000-0000-000064000000}"/>
    <cellStyle name="Comma 3 2" xfId="91" xr:uid="{00000000-0005-0000-0000-000065000000}"/>
    <cellStyle name="Comma 3 2 2" xfId="348" xr:uid="{00000000-0005-0000-0000-000066000000}"/>
    <cellStyle name="Comma 3 3" xfId="92" xr:uid="{00000000-0005-0000-0000-000067000000}"/>
    <cellStyle name="Comma 3 3 2" xfId="93" xr:uid="{00000000-0005-0000-0000-000068000000}"/>
    <cellStyle name="Comma 3 3 2 2" xfId="350" xr:uid="{00000000-0005-0000-0000-000069000000}"/>
    <cellStyle name="Comma 3 3 3" xfId="94" xr:uid="{00000000-0005-0000-0000-00006A000000}"/>
    <cellStyle name="Comma 3 3 3 2" xfId="351" xr:uid="{00000000-0005-0000-0000-00006B000000}"/>
    <cellStyle name="Comma 3 3 4" xfId="349" xr:uid="{00000000-0005-0000-0000-00006C000000}"/>
    <cellStyle name="Comma 3 4" xfId="95" xr:uid="{00000000-0005-0000-0000-00006D000000}"/>
    <cellStyle name="Comma 3 4 2" xfId="96" xr:uid="{00000000-0005-0000-0000-00006E000000}"/>
    <cellStyle name="Comma 3 4 2 2" xfId="353" xr:uid="{00000000-0005-0000-0000-00006F000000}"/>
    <cellStyle name="Comma 3 4 3" xfId="97" xr:uid="{00000000-0005-0000-0000-000070000000}"/>
    <cellStyle name="Comma 3 4 3 2" xfId="354" xr:uid="{00000000-0005-0000-0000-000071000000}"/>
    <cellStyle name="Comma 3 4 4" xfId="352" xr:uid="{00000000-0005-0000-0000-000072000000}"/>
    <cellStyle name="Comma 3 5" xfId="98" xr:uid="{00000000-0005-0000-0000-000073000000}"/>
    <cellStyle name="Comma 3 5 2" xfId="355" xr:uid="{00000000-0005-0000-0000-000074000000}"/>
    <cellStyle name="Comma 3 6" xfId="99" xr:uid="{00000000-0005-0000-0000-000075000000}"/>
    <cellStyle name="Comma 3 6 2" xfId="100" xr:uid="{00000000-0005-0000-0000-000076000000}"/>
    <cellStyle name="Comma 3 6 2 2" xfId="357" xr:uid="{00000000-0005-0000-0000-000077000000}"/>
    <cellStyle name="Comma 3 6 3" xfId="356" xr:uid="{00000000-0005-0000-0000-000078000000}"/>
    <cellStyle name="Comma 3 7" xfId="101" xr:uid="{00000000-0005-0000-0000-000079000000}"/>
    <cellStyle name="Comma 3 7 2" xfId="102" xr:uid="{00000000-0005-0000-0000-00007A000000}"/>
    <cellStyle name="Comma 3 7 2 2" xfId="359" xr:uid="{00000000-0005-0000-0000-00007B000000}"/>
    <cellStyle name="Comma 3 7 3" xfId="358" xr:uid="{00000000-0005-0000-0000-00007C000000}"/>
    <cellStyle name="Comma 3 8" xfId="103" xr:uid="{00000000-0005-0000-0000-00007D000000}"/>
    <cellStyle name="Comma 3 8 2" xfId="360" xr:uid="{00000000-0005-0000-0000-00007E000000}"/>
    <cellStyle name="Comma 3 9" xfId="338" xr:uid="{00000000-0005-0000-0000-00007F000000}"/>
    <cellStyle name="Comma 4" xfId="104" xr:uid="{00000000-0005-0000-0000-000080000000}"/>
    <cellStyle name="Comma 4 2" xfId="105" xr:uid="{00000000-0005-0000-0000-000081000000}"/>
    <cellStyle name="Comma 4 2 2" xfId="362" xr:uid="{00000000-0005-0000-0000-000082000000}"/>
    <cellStyle name="Comma 4 3" xfId="361" xr:uid="{00000000-0005-0000-0000-000083000000}"/>
    <cellStyle name="Comma 5" xfId="106" xr:uid="{00000000-0005-0000-0000-000084000000}"/>
    <cellStyle name="Comma 5 2" xfId="107" xr:uid="{00000000-0005-0000-0000-000085000000}"/>
    <cellStyle name="Comma 5 2 2" xfId="364" xr:uid="{00000000-0005-0000-0000-000086000000}"/>
    <cellStyle name="Comma 5 3" xfId="363" xr:uid="{00000000-0005-0000-0000-000087000000}"/>
    <cellStyle name="Comma 6" xfId="108" xr:uid="{00000000-0005-0000-0000-000088000000}"/>
    <cellStyle name="Comma 6 2" xfId="109" xr:uid="{00000000-0005-0000-0000-000089000000}"/>
    <cellStyle name="Comma 6 2 2" xfId="366" xr:uid="{00000000-0005-0000-0000-00008A000000}"/>
    <cellStyle name="Comma 6 3" xfId="110" xr:uid="{00000000-0005-0000-0000-00008B000000}"/>
    <cellStyle name="Comma 6 3 2" xfId="367" xr:uid="{00000000-0005-0000-0000-00008C000000}"/>
    <cellStyle name="Comma 6 4" xfId="365" xr:uid="{00000000-0005-0000-0000-00008D000000}"/>
    <cellStyle name="Comma 7" xfId="111" xr:uid="{00000000-0005-0000-0000-00008E000000}"/>
    <cellStyle name="Comma 7 2" xfId="112" xr:uid="{00000000-0005-0000-0000-00008F000000}"/>
    <cellStyle name="Comma 7 2 2" xfId="369" xr:uid="{00000000-0005-0000-0000-000090000000}"/>
    <cellStyle name="Comma 7 3" xfId="113" xr:uid="{00000000-0005-0000-0000-000091000000}"/>
    <cellStyle name="Comma 7 3 2" xfId="370" xr:uid="{00000000-0005-0000-0000-000092000000}"/>
    <cellStyle name="Comma 7 4" xfId="368" xr:uid="{00000000-0005-0000-0000-000093000000}"/>
    <cellStyle name="Comma 8" xfId="114" xr:uid="{00000000-0005-0000-0000-000094000000}"/>
    <cellStyle name="Comma 8 2" xfId="371" xr:uid="{00000000-0005-0000-0000-000095000000}"/>
    <cellStyle name="Comma 9" xfId="372" xr:uid="{00000000-0005-0000-0000-000096000000}"/>
    <cellStyle name="Comma 9 2" xfId="526" xr:uid="{00000000-0005-0000-0000-000097000000}"/>
    <cellStyle name="Comma_spp calc - revsd rev crd" xfId="115" xr:uid="{00000000-0005-0000-0000-000098000000}"/>
    <cellStyle name="Comma0" xfId="116" xr:uid="{00000000-0005-0000-0000-000099000000}"/>
    <cellStyle name="Comma0 2" xfId="373" xr:uid="{00000000-0005-0000-0000-00009A000000}"/>
    <cellStyle name="Currency" xfId="117" builtinId="4"/>
    <cellStyle name="Currency 2" xfId="118" xr:uid="{00000000-0005-0000-0000-00009C000000}"/>
    <cellStyle name="Currency 2 2" xfId="119" xr:uid="{00000000-0005-0000-0000-00009D000000}"/>
    <cellStyle name="Currency 2 2 2" xfId="376" xr:uid="{00000000-0005-0000-0000-00009E000000}"/>
    <cellStyle name="Currency 2 3" xfId="375" xr:uid="{00000000-0005-0000-0000-00009F000000}"/>
    <cellStyle name="Currency 3" xfId="120" xr:uid="{00000000-0005-0000-0000-0000A0000000}"/>
    <cellStyle name="Currency 3 2" xfId="121" xr:uid="{00000000-0005-0000-0000-0000A1000000}"/>
    <cellStyle name="Currency 3 2 2" xfId="378" xr:uid="{00000000-0005-0000-0000-0000A2000000}"/>
    <cellStyle name="Currency 3 3" xfId="122" xr:uid="{00000000-0005-0000-0000-0000A3000000}"/>
    <cellStyle name="Currency 3 3 2" xfId="123" xr:uid="{00000000-0005-0000-0000-0000A4000000}"/>
    <cellStyle name="Currency 3 3 2 2" xfId="380" xr:uid="{00000000-0005-0000-0000-0000A5000000}"/>
    <cellStyle name="Currency 3 3 3" xfId="124" xr:uid="{00000000-0005-0000-0000-0000A6000000}"/>
    <cellStyle name="Currency 3 3 3 2" xfId="381" xr:uid="{00000000-0005-0000-0000-0000A7000000}"/>
    <cellStyle name="Currency 3 3 4" xfId="379" xr:uid="{00000000-0005-0000-0000-0000A8000000}"/>
    <cellStyle name="Currency 3 4" xfId="125" xr:uid="{00000000-0005-0000-0000-0000A9000000}"/>
    <cellStyle name="Currency 3 4 2" xfId="126" xr:uid="{00000000-0005-0000-0000-0000AA000000}"/>
    <cellStyle name="Currency 3 4 2 2" xfId="383" xr:uid="{00000000-0005-0000-0000-0000AB000000}"/>
    <cellStyle name="Currency 3 4 3" xfId="127" xr:uid="{00000000-0005-0000-0000-0000AC000000}"/>
    <cellStyle name="Currency 3 4 3 2" xfId="384" xr:uid="{00000000-0005-0000-0000-0000AD000000}"/>
    <cellStyle name="Currency 3 4 4" xfId="382" xr:uid="{00000000-0005-0000-0000-0000AE000000}"/>
    <cellStyle name="Currency 3 5" xfId="128" xr:uid="{00000000-0005-0000-0000-0000AF000000}"/>
    <cellStyle name="Currency 3 5 2" xfId="385" xr:uid="{00000000-0005-0000-0000-0000B0000000}"/>
    <cellStyle name="Currency 3 6" xfId="129" xr:uid="{00000000-0005-0000-0000-0000B1000000}"/>
    <cellStyle name="Currency 3 6 2" xfId="130" xr:uid="{00000000-0005-0000-0000-0000B2000000}"/>
    <cellStyle name="Currency 3 6 2 2" xfId="387" xr:uid="{00000000-0005-0000-0000-0000B3000000}"/>
    <cellStyle name="Currency 3 6 3" xfId="386" xr:uid="{00000000-0005-0000-0000-0000B4000000}"/>
    <cellStyle name="Currency 3 7" xfId="131" xr:uid="{00000000-0005-0000-0000-0000B5000000}"/>
    <cellStyle name="Currency 3 7 2" xfId="388" xr:uid="{00000000-0005-0000-0000-0000B6000000}"/>
    <cellStyle name="Currency 3 8" xfId="389" xr:uid="{00000000-0005-0000-0000-0000B7000000}"/>
    <cellStyle name="Currency 3 9" xfId="377" xr:uid="{00000000-0005-0000-0000-0000B8000000}"/>
    <cellStyle name="Currency 4" xfId="132" xr:uid="{00000000-0005-0000-0000-0000B9000000}"/>
    <cellStyle name="Currency 4 2" xfId="133" xr:uid="{00000000-0005-0000-0000-0000BA000000}"/>
    <cellStyle name="Currency 4 2 2" xfId="391" xr:uid="{00000000-0005-0000-0000-0000BB000000}"/>
    <cellStyle name="Currency 4 3" xfId="390" xr:uid="{00000000-0005-0000-0000-0000BC000000}"/>
    <cellStyle name="Currency 5" xfId="134" xr:uid="{00000000-0005-0000-0000-0000BD000000}"/>
    <cellStyle name="Currency 5 2" xfId="135" xr:uid="{00000000-0005-0000-0000-0000BE000000}"/>
    <cellStyle name="Currency 5 2 2" xfId="393" xr:uid="{00000000-0005-0000-0000-0000BF000000}"/>
    <cellStyle name="Currency 5 3" xfId="392" xr:uid="{00000000-0005-0000-0000-0000C0000000}"/>
    <cellStyle name="Currency 6" xfId="136" xr:uid="{00000000-0005-0000-0000-0000C1000000}"/>
    <cellStyle name="Currency 6 2" xfId="394" xr:uid="{00000000-0005-0000-0000-0000C2000000}"/>
    <cellStyle name="Currency 7" xfId="137" xr:uid="{00000000-0005-0000-0000-0000C3000000}"/>
    <cellStyle name="Currency 7 2" xfId="395" xr:uid="{00000000-0005-0000-0000-0000C4000000}"/>
    <cellStyle name="Currency 8" xfId="396" xr:uid="{00000000-0005-0000-0000-0000C5000000}"/>
    <cellStyle name="Currency 9" xfId="374" xr:uid="{00000000-0005-0000-0000-0000C6000000}"/>
    <cellStyle name="Currency0" xfId="138" xr:uid="{00000000-0005-0000-0000-0000C7000000}"/>
    <cellStyle name="Currency0 2" xfId="397" xr:uid="{00000000-0005-0000-0000-0000C8000000}"/>
    <cellStyle name="Date" xfId="139" xr:uid="{00000000-0005-0000-0000-0000C9000000}"/>
    <cellStyle name="Date 2" xfId="398" xr:uid="{00000000-0005-0000-0000-0000CA000000}"/>
    <cellStyle name="Explanatory Text" xfId="140" builtinId="53" customBuiltin="1"/>
    <cellStyle name="Explanatory Text 2" xfId="141" xr:uid="{00000000-0005-0000-0000-0000CC000000}"/>
    <cellStyle name="Fixed" xfId="142" xr:uid="{00000000-0005-0000-0000-0000CD000000}"/>
    <cellStyle name="Fixed 2" xfId="399" xr:uid="{00000000-0005-0000-0000-0000CE000000}"/>
    <cellStyle name="Good" xfId="143" builtinId="26" customBuiltin="1"/>
    <cellStyle name="Good 2" xfId="144" xr:uid="{00000000-0005-0000-0000-0000D0000000}"/>
    <cellStyle name="Heading 1" xfId="145" builtinId="16" customBuiltin="1"/>
    <cellStyle name="Heading 1 2" xfId="146" xr:uid="{00000000-0005-0000-0000-0000D2000000}"/>
    <cellStyle name="Heading 2" xfId="147" builtinId="17" customBuiltin="1"/>
    <cellStyle name="Heading 2 2" xfId="148" xr:uid="{00000000-0005-0000-0000-0000D4000000}"/>
    <cellStyle name="Heading 3" xfId="149" builtinId="18" customBuiltin="1"/>
    <cellStyle name="Heading 3 2" xfId="150" xr:uid="{00000000-0005-0000-0000-0000D6000000}"/>
    <cellStyle name="Heading 4" xfId="151" builtinId="19" customBuiltin="1"/>
    <cellStyle name="Heading 4 2" xfId="152" xr:uid="{00000000-0005-0000-0000-0000D8000000}"/>
    <cellStyle name="Heading1" xfId="153" xr:uid="{00000000-0005-0000-0000-0000D9000000}"/>
    <cellStyle name="Heading2" xfId="154" xr:uid="{00000000-0005-0000-0000-0000DA000000}"/>
    <cellStyle name="Input" xfId="155" builtinId="20" customBuiltin="1"/>
    <cellStyle name="Input 2" xfId="156" xr:uid="{00000000-0005-0000-0000-0000DC000000}"/>
    <cellStyle name="Linked Cell" xfId="157" builtinId="24" customBuiltin="1"/>
    <cellStyle name="Linked Cell 2" xfId="158" xr:uid="{00000000-0005-0000-0000-0000DE000000}"/>
    <cellStyle name="Neutral" xfId="159" builtinId="28" customBuiltin="1"/>
    <cellStyle name="Neutral 2" xfId="160" xr:uid="{00000000-0005-0000-0000-0000E0000000}"/>
    <cellStyle name="Normal" xfId="0" builtinId="0"/>
    <cellStyle name="Normal 10" xfId="161" xr:uid="{00000000-0005-0000-0000-0000E2000000}"/>
    <cellStyle name="Normal 10 2" xfId="162" xr:uid="{00000000-0005-0000-0000-0000E3000000}"/>
    <cellStyle name="Normal 10 2 2" xfId="401" xr:uid="{00000000-0005-0000-0000-0000E4000000}"/>
    <cellStyle name="Normal 10 3" xfId="163" xr:uid="{00000000-0005-0000-0000-0000E5000000}"/>
    <cellStyle name="Normal 10 3 2" xfId="402" xr:uid="{00000000-0005-0000-0000-0000E6000000}"/>
    <cellStyle name="Normal 10 4" xfId="400" xr:uid="{00000000-0005-0000-0000-0000E7000000}"/>
    <cellStyle name="Normal 11" xfId="164" xr:uid="{00000000-0005-0000-0000-0000E8000000}"/>
    <cellStyle name="Normal 11 2" xfId="165" xr:uid="{00000000-0005-0000-0000-0000E9000000}"/>
    <cellStyle name="Normal 11 2 2" xfId="404" xr:uid="{00000000-0005-0000-0000-0000EA000000}"/>
    <cellStyle name="Normal 11 3" xfId="166" xr:uid="{00000000-0005-0000-0000-0000EB000000}"/>
    <cellStyle name="Normal 11 3 2" xfId="405" xr:uid="{00000000-0005-0000-0000-0000EC000000}"/>
    <cellStyle name="Normal 11 4" xfId="403" xr:uid="{00000000-0005-0000-0000-0000ED000000}"/>
    <cellStyle name="Normal 12" xfId="167" xr:uid="{00000000-0005-0000-0000-0000EE000000}"/>
    <cellStyle name="Normal 12 2" xfId="168" xr:uid="{00000000-0005-0000-0000-0000EF000000}"/>
    <cellStyle name="Normal 12 2 2" xfId="407" xr:uid="{00000000-0005-0000-0000-0000F0000000}"/>
    <cellStyle name="Normal 12 3" xfId="406" xr:uid="{00000000-0005-0000-0000-0000F1000000}"/>
    <cellStyle name="Normal 12 4" xfId="169" xr:uid="{00000000-0005-0000-0000-0000F2000000}"/>
    <cellStyle name="Normal 12 4 2" xfId="408" xr:uid="{00000000-0005-0000-0000-0000F3000000}"/>
    <cellStyle name="Normal 13" xfId="170" xr:uid="{00000000-0005-0000-0000-0000F4000000}"/>
    <cellStyle name="Normal 13 2" xfId="171" xr:uid="{00000000-0005-0000-0000-0000F5000000}"/>
    <cellStyle name="Normal 13 2 2" xfId="410" xr:uid="{00000000-0005-0000-0000-0000F6000000}"/>
    <cellStyle name="Normal 13 3" xfId="409" xr:uid="{00000000-0005-0000-0000-0000F7000000}"/>
    <cellStyle name="Normal 14" xfId="172" xr:uid="{00000000-0005-0000-0000-0000F8000000}"/>
    <cellStyle name="Normal 14 2" xfId="173" xr:uid="{00000000-0005-0000-0000-0000F9000000}"/>
    <cellStyle name="Normal 14 2 2" xfId="412" xr:uid="{00000000-0005-0000-0000-0000FA000000}"/>
    <cellStyle name="Normal 14 3" xfId="411" xr:uid="{00000000-0005-0000-0000-0000FB000000}"/>
    <cellStyle name="Normal 15" xfId="174" xr:uid="{00000000-0005-0000-0000-0000FC000000}"/>
    <cellStyle name="Normal 15 2" xfId="413" xr:uid="{00000000-0005-0000-0000-0000FD000000}"/>
    <cellStyle name="Normal 16" xfId="175" xr:uid="{00000000-0005-0000-0000-0000FE000000}"/>
    <cellStyle name="Normal 16 2" xfId="176" xr:uid="{00000000-0005-0000-0000-0000FF000000}"/>
    <cellStyle name="Normal 16 2 2" xfId="415" xr:uid="{00000000-0005-0000-0000-000000010000}"/>
    <cellStyle name="Normal 16 3" xfId="414" xr:uid="{00000000-0005-0000-0000-000001010000}"/>
    <cellStyle name="Normal 17" xfId="177" xr:uid="{00000000-0005-0000-0000-000002010000}"/>
    <cellStyle name="Normal 17 2" xfId="178" xr:uid="{00000000-0005-0000-0000-000003010000}"/>
    <cellStyle name="Normal 17 2 2" xfId="417" xr:uid="{00000000-0005-0000-0000-000004010000}"/>
    <cellStyle name="Normal 17 3" xfId="416" xr:uid="{00000000-0005-0000-0000-000005010000}"/>
    <cellStyle name="Normal 18" xfId="179" xr:uid="{00000000-0005-0000-0000-000006010000}"/>
    <cellStyle name="Normal 18 2" xfId="180" xr:uid="{00000000-0005-0000-0000-000007010000}"/>
    <cellStyle name="Normal 18 2 2" xfId="419" xr:uid="{00000000-0005-0000-0000-000008010000}"/>
    <cellStyle name="Normal 18 3" xfId="418" xr:uid="{00000000-0005-0000-0000-000009010000}"/>
    <cellStyle name="Normal 19" xfId="181" xr:uid="{00000000-0005-0000-0000-00000A010000}"/>
    <cellStyle name="Normal 19 2" xfId="182" xr:uid="{00000000-0005-0000-0000-00000B010000}"/>
    <cellStyle name="Normal 19 2 2" xfId="421" xr:uid="{00000000-0005-0000-0000-00000C010000}"/>
    <cellStyle name="Normal 19 3" xfId="420" xr:uid="{00000000-0005-0000-0000-00000D010000}"/>
    <cellStyle name="Normal 2" xfId="183" xr:uid="{00000000-0005-0000-0000-00000E010000}"/>
    <cellStyle name="Normal 2 2" xfId="184" xr:uid="{00000000-0005-0000-0000-00000F010000}"/>
    <cellStyle name="Normal 2 2 2" xfId="185" xr:uid="{00000000-0005-0000-0000-000010010000}"/>
    <cellStyle name="Normal 2 2 3" xfId="186" xr:uid="{00000000-0005-0000-0000-000011010000}"/>
    <cellStyle name="Normal 2 2 3 2" xfId="424" xr:uid="{00000000-0005-0000-0000-000012010000}"/>
    <cellStyle name="Normal 2 2 4" xfId="187" xr:uid="{00000000-0005-0000-0000-000013010000}"/>
    <cellStyle name="Normal 2 2 4 2" xfId="425" xr:uid="{00000000-0005-0000-0000-000014010000}"/>
    <cellStyle name="Normal 2 2 5" xfId="423" xr:uid="{00000000-0005-0000-0000-000015010000}"/>
    <cellStyle name="Normal 2 3" xfId="188" xr:uid="{00000000-0005-0000-0000-000016010000}"/>
    <cellStyle name="Normal 2 4" xfId="422" xr:uid="{00000000-0005-0000-0000-000017010000}"/>
    <cellStyle name="Normal 2 5" xfId="189" xr:uid="{00000000-0005-0000-0000-000018010000}"/>
    <cellStyle name="Normal 2 5 2" xfId="190" xr:uid="{00000000-0005-0000-0000-000019010000}"/>
    <cellStyle name="Normal 2 5 2 2" xfId="427" xr:uid="{00000000-0005-0000-0000-00001A010000}"/>
    <cellStyle name="Normal 2 5 3" xfId="426" xr:uid="{00000000-0005-0000-0000-00001B010000}"/>
    <cellStyle name="Normal 20" xfId="191" xr:uid="{00000000-0005-0000-0000-00001C010000}"/>
    <cellStyle name="Normal 20 2" xfId="192" xr:uid="{00000000-0005-0000-0000-00001D010000}"/>
    <cellStyle name="Normal 20 2 2" xfId="429" xr:uid="{00000000-0005-0000-0000-00001E010000}"/>
    <cellStyle name="Normal 20 3" xfId="428" xr:uid="{00000000-0005-0000-0000-00001F010000}"/>
    <cellStyle name="Normal 21" xfId="193" xr:uid="{00000000-0005-0000-0000-000020010000}"/>
    <cellStyle name="Normal 21 2" xfId="194" xr:uid="{00000000-0005-0000-0000-000021010000}"/>
    <cellStyle name="Normal 21 2 2" xfId="431" xr:uid="{00000000-0005-0000-0000-000022010000}"/>
    <cellStyle name="Normal 21 3" xfId="430" xr:uid="{00000000-0005-0000-0000-000023010000}"/>
    <cellStyle name="Normal 22" xfId="195" xr:uid="{00000000-0005-0000-0000-000024010000}"/>
    <cellStyle name="Normal 22 2" xfId="196" xr:uid="{00000000-0005-0000-0000-000025010000}"/>
    <cellStyle name="Normal 22 2 2" xfId="433" xr:uid="{00000000-0005-0000-0000-000026010000}"/>
    <cellStyle name="Normal 22 3" xfId="432" xr:uid="{00000000-0005-0000-0000-000027010000}"/>
    <cellStyle name="Normal 23" xfId="197" xr:uid="{00000000-0005-0000-0000-000028010000}"/>
    <cellStyle name="Normal 23 2" xfId="198" xr:uid="{00000000-0005-0000-0000-000029010000}"/>
    <cellStyle name="Normal 23 2 2" xfId="435" xr:uid="{00000000-0005-0000-0000-00002A010000}"/>
    <cellStyle name="Normal 23 3" xfId="434" xr:uid="{00000000-0005-0000-0000-00002B010000}"/>
    <cellStyle name="Normal 24" xfId="199" xr:uid="{00000000-0005-0000-0000-00002C010000}"/>
    <cellStyle name="Normal 24 2" xfId="200" xr:uid="{00000000-0005-0000-0000-00002D010000}"/>
    <cellStyle name="Normal 24 2 2" xfId="437" xr:uid="{00000000-0005-0000-0000-00002E010000}"/>
    <cellStyle name="Normal 24 3" xfId="436" xr:uid="{00000000-0005-0000-0000-00002F010000}"/>
    <cellStyle name="Normal 25" xfId="201" xr:uid="{00000000-0005-0000-0000-000030010000}"/>
    <cellStyle name="Normal 25 2" xfId="202" xr:uid="{00000000-0005-0000-0000-000031010000}"/>
    <cellStyle name="Normal 25 2 2" xfId="439" xr:uid="{00000000-0005-0000-0000-000032010000}"/>
    <cellStyle name="Normal 25 3" xfId="438" xr:uid="{00000000-0005-0000-0000-000033010000}"/>
    <cellStyle name="Normal 26" xfId="203" xr:uid="{00000000-0005-0000-0000-000034010000}"/>
    <cellStyle name="Normal 26 2" xfId="204" xr:uid="{00000000-0005-0000-0000-000035010000}"/>
    <cellStyle name="Normal 26 2 2" xfId="441" xr:uid="{00000000-0005-0000-0000-000036010000}"/>
    <cellStyle name="Normal 26 3" xfId="440" xr:uid="{00000000-0005-0000-0000-000037010000}"/>
    <cellStyle name="Normal 27" xfId="205" xr:uid="{00000000-0005-0000-0000-000038010000}"/>
    <cellStyle name="Normal 27 2" xfId="442" xr:uid="{00000000-0005-0000-0000-000039010000}"/>
    <cellStyle name="Normal 28" xfId="206" xr:uid="{00000000-0005-0000-0000-00003A010000}"/>
    <cellStyle name="Normal 28 2" xfId="207" xr:uid="{00000000-0005-0000-0000-00003B010000}"/>
    <cellStyle name="Normal 28 2 2" xfId="444" xr:uid="{00000000-0005-0000-0000-00003C010000}"/>
    <cellStyle name="Normal 28 3" xfId="443" xr:uid="{00000000-0005-0000-0000-00003D010000}"/>
    <cellStyle name="Normal 29" xfId="208" xr:uid="{00000000-0005-0000-0000-00003E010000}"/>
    <cellStyle name="Normal 29 2" xfId="209" xr:uid="{00000000-0005-0000-0000-00003F010000}"/>
    <cellStyle name="Normal 29 2 2" xfId="446" xr:uid="{00000000-0005-0000-0000-000040010000}"/>
    <cellStyle name="Normal 29 3" xfId="445" xr:uid="{00000000-0005-0000-0000-000041010000}"/>
    <cellStyle name="Normal 3" xfId="210" xr:uid="{00000000-0005-0000-0000-000042010000}"/>
    <cellStyle name="Normal 3 2" xfId="211" xr:uid="{00000000-0005-0000-0000-000043010000}"/>
    <cellStyle name="Normal 3 2 2" xfId="448" xr:uid="{00000000-0005-0000-0000-000044010000}"/>
    <cellStyle name="Normal 3 3" xfId="212" xr:uid="{00000000-0005-0000-0000-000045010000}"/>
    <cellStyle name="Normal 3 3 2" xfId="449" xr:uid="{00000000-0005-0000-0000-000046010000}"/>
    <cellStyle name="Normal 3 4" xfId="447" xr:uid="{00000000-0005-0000-0000-000047010000}"/>
    <cellStyle name="Normal 3_Attach O, GG, Support -New Method 2-14-11" xfId="213" xr:uid="{00000000-0005-0000-0000-000048010000}"/>
    <cellStyle name="Normal 30" xfId="522" xr:uid="{00000000-0005-0000-0000-000049010000}"/>
    <cellStyle name="Normal 31" xfId="525" xr:uid="{00000000-0005-0000-0000-00004A010000}"/>
    <cellStyle name="Normal 31 2" xfId="523" xr:uid="{00000000-0005-0000-0000-00004B010000}"/>
    <cellStyle name="Normal 31 2 2" xfId="529" xr:uid="{00000000-0005-0000-0000-00004C010000}"/>
    <cellStyle name="Normal 31 3" xfId="531" xr:uid="{00000000-0005-0000-0000-00004D010000}"/>
    <cellStyle name="Normal 32" xfId="533" xr:uid="{BF5499BB-2406-47FE-AB76-B9809BB5618F}"/>
    <cellStyle name="Normal 33" xfId="534" xr:uid="{18DE8932-1EB9-492C-A2E5-38EDFCFCCB5B}"/>
    <cellStyle name="Normal 4" xfId="214" xr:uid="{00000000-0005-0000-0000-00004E010000}"/>
    <cellStyle name="Normal 4 10" xfId="450" xr:uid="{00000000-0005-0000-0000-00004F010000}"/>
    <cellStyle name="Normal 4 2" xfId="215" xr:uid="{00000000-0005-0000-0000-000050010000}"/>
    <cellStyle name="Normal 4 2 2" xfId="451" xr:uid="{00000000-0005-0000-0000-000051010000}"/>
    <cellStyle name="Normal 4 3" xfId="216" xr:uid="{00000000-0005-0000-0000-000052010000}"/>
    <cellStyle name="Normal 4 3 2" xfId="217" xr:uid="{00000000-0005-0000-0000-000053010000}"/>
    <cellStyle name="Normal 4 3 2 2" xfId="453" xr:uid="{00000000-0005-0000-0000-000054010000}"/>
    <cellStyle name="Normal 4 3 3" xfId="218" xr:uid="{00000000-0005-0000-0000-000055010000}"/>
    <cellStyle name="Normal 4 3 3 2" xfId="454" xr:uid="{00000000-0005-0000-0000-000056010000}"/>
    <cellStyle name="Normal 4 3 4" xfId="452" xr:uid="{00000000-0005-0000-0000-000057010000}"/>
    <cellStyle name="Normal 4 4" xfId="219" xr:uid="{00000000-0005-0000-0000-000058010000}"/>
    <cellStyle name="Normal 4 4 2" xfId="220" xr:uid="{00000000-0005-0000-0000-000059010000}"/>
    <cellStyle name="Normal 4 4 2 2" xfId="456" xr:uid="{00000000-0005-0000-0000-00005A010000}"/>
    <cellStyle name="Normal 4 4 3" xfId="221" xr:uid="{00000000-0005-0000-0000-00005B010000}"/>
    <cellStyle name="Normal 4 4 3 2" xfId="457" xr:uid="{00000000-0005-0000-0000-00005C010000}"/>
    <cellStyle name="Normal 4 4 4" xfId="455" xr:uid="{00000000-0005-0000-0000-00005D010000}"/>
    <cellStyle name="Normal 4 5" xfId="222" xr:uid="{00000000-0005-0000-0000-00005E010000}"/>
    <cellStyle name="Normal 4 5 2" xfId="458" xr:uid="{00000000-0005-0000-0000-00005F010000}"/>
    <cellStyle name="Normal 4 6" xfId="223" xr:uid="{00000000-0005-0000-0000-000060010000}"/>
    <cellStyle name="Normal 4 6 2" xfId="224" xr:uid="{00000000-0005-0000-0000-000061010000}"/>
    <cellStyle name="Normal 4 6 2 2" xfId="460" xr:uid="{00000000-0005-0000-0000-000062010000}"/>
    <cellStyle name="Normal 4 6 3" xfId="459" xr:uid="{00000000-0005-0000-0000-000063010000}"/>
    <cellStyle name="Normal 4 7" xfId="225" xr:uid="{00000000-0005-0000-0000-000064010000}"/>
    <cellStyle name="Normal 4 7 2" xfId="226" xr:uid="{00000000-0005-0000-0000-000065010000}"/>
    <cellStyle name="Normal 4 7 2 2" xfId="462" xr:uid="{00000000-0005-0000-0000-000066010000}"/>
    <cellStyle name="Normal 4 7 3" xfId="461" xr:uid="{00000000-0005-0000-0000-000067010000}"/>
    <cellStyle name="Normal 4 8" xfId="227" xr:uid="{00000000-0005-0000-0000-000068010000}"/>
    <cellStyle name="Normal 4 8 2" xfId="463" xr:uid="{00000000-0005-0000-0000-000069010000}"/>
    <cellStyle name="Normal 4 9" xfId="464" xr:uid="{00000000-0005-0000-0000-00006A010000}"/>
    <cellStyle name="Normal 4_PBOP Exhibit 1" xfId="228" xr:uid="{00000000-0005-0000-0000-00006B010000}"/>
    <cellStyle name="Normal 5" xfId="229" xr:uid="{00000000-0005-0000-0000-00006C010000}"/>
    <cellStyle name="Normal 5 2" xfId="230" xr:uid="{00000000-0005-0000-0000-00006D010000}"/>
    <cellStyle name="Normal 5 2 2" xfId="231" xr:uid="{00000000-0005-0000-0000-00006E010000}"/>
    <cellStyle name="Normal 5 2 2 2" xfId="467" xr:uid="{00000000-0005-0000-0000-00006F010000}"/>
    <cellStyle name="Normal 5 2 3" xfId="466" xr:uid="{00000000-0005-0000-0000-000070010000}"/>
    <cellStyle name="Normal 5 3" xfId="232" xr:uid="{00000000-0005-0000-0000-000071010000}"/>
    <cellStyle name="Normal 5 3 2" xfId="468" xr:uid="{00000000-0005-0000-0000-000072010000}"/>
    <cellStyle name="Normal 5 4" xfId="233" xr:uid="{00000000-0005-0000-0000-000073010000}"/>
    <cellStyle name="Normal 5 4 2" xfId="469" xr:uid="{00000000-0005-0000-0000-000074010000}"/>
    <cellStyle name="Normal 5 5" xfId="465" xr:uid="{00000000-0005-0000-0000-000075010000}"/>
    <cellStyle name="Normal 6" xfId="234" xr:uid="{00000000-0005-0000-0000-000076010000}"/>
    <cellStyle name="Normal 6 2" xfId="235" xr:uid="{00000000-0005-0000-0000-000077010000}"/>
    <cellStyle name="Normal 6 2 2" xfId="236" xr:uid="{00000000-0005-0000-0000-000078010000}"/>
    <cellStyle name="Normal 6 2 2 2" xfId="472" xr:uid="{00000000-0005-0000-0000-000079010000}"/>
    <cellStyle name="Normal 6 2 3" xfId="237" xr:uid="{00000000-0005-0000-0000-00007A010000}"/>
    <cellStyle name="Normal 6 2 3 2" xfId="473" xr:uid="{00000000-0005-0000-0000-00007B010000}"/>
    <cellStyle name="Normal 6 2 4" xfId="471" xr:uid="{00000000-0005-0000-0000-00007C010000}"/>
    <cellStyle name="Normal 6 3" xfId="238" xr:uid="{00000000-0005-0000-0000-00007D010000}"/>
    <cellStyle name="Normal 6 3 2" xfId="239" xr:uid="{00000000-0005-0000-0000-00007E010000}"/>
    <cellStyle name="Normal 6 3 2 2" xfId="475" xr:uid="{00000000-0005-0000-0000-00007F010000}"/>
    <cellStyle name="Normal 6 3 3" xfId="474" xr:uid="{00000000-0005-0000-0000-000080010000}"/>
    <cellStyle name="Normal 6 4" xfId="240" xr:uid="{00000000-0005-0000-0000-000081010000}"/>
    <cellStyle name="Normal 6 4 2" xfId="241" xr:uid="{00000000-0005-0000-0000-000082010000}"/>
    <cellStyle name="Normal 6 4 2 2" xfId="477" xr:uid="{00000000-0005-0000-0000-000083010000}"/>
    <cellStyle name="Normal 6 4 3" xfId="476" xr:uid="{00000000-0005-0000-0000-000084010000}"/>
    <cellStyle name="Normal 6 5" xfId="470" xr:uid="{00000000-0005-0000-0000-000085010000}"/>
    <cellStyle name="Normal 7" xfId="242" xr:uid="{00000000-0005-0000-0000-000086010000}"/>
    <cellStyle name="Normal 7 2" xfId="243" xr:uid="{00000000-0005-0000-0000-000087010000}"/>
    <cellStyle name="Normal 7 2 2" xfId="479" xr:uid="{00000000-0005-0000-0000-000088010000}"/>
    <cellStyle name="Normal 7 3" xfId="478" xr:uid="{00000000-0005-0000-0000-000089010000}"/>
    <cellStyle name="Normal 8" xfId="244" xr:uid="{00000000-0005-0000-0000-00008A010000}"/>
    <cellStyle name="Normal 8 2" xfId="245" xr:uid="{00000000-0005-0000-0000-00008B010000}"/>
    <cellStyle name="Normal 8 2 2" xfId="481" xr:uid="{00000000-0005-0000-0000-00008C010000}"/>
    <cellStyle name="Normal 8 3" xfId="480" xr:uid="{00000000-0005-0000-0000-00008D010000}"/>
    <cellStyle name="Normal 9" xfId="246" xr:uid="{00000000-0005-0000-0000-00008E010000}"/>
    <cellStyle name="Normal 9 2" xfId="247" xr:uid="{00000000-0005-0000-0000-00008F010000}"/>
    <cellStyle name="Normal 9 2 2" xfId="483" xr:uid="{00000000-0005-0000-0000-000090010000}"/>
    <cellStyle name="Normal 9 3" xfId="482" xr:uid="{00000000-0005-0000-0000-000091010000}"/>
    <cellStyle name="Normal_21 Exh B" xfId="248" xr:uid="{00000000-0005-0000-0000-000092010000}"/>
    <cellStyle name="Normal_ADITAnalysisID090805" xfId="249" xr:uid="{00000000-0005-0000-0000-000093010000}"/>
    <cellStyle name="Normal_ADITAnalysisID090805 2" xfId="250" xr:uid="{00000000-0005-0000-0000-000094010000}"/>
    <cellStyle name="Normal_ADITAnalysisID090805 2 2" xfId="251" xr:uid="{00000000-0005-0000-0000-000095010000}"/>
    <cellStyle name="Normal_ADITAnalysisID090805 2 2 2" xfId="252" xr:uid="{00000000-0005-0000-0000-000096010000}"/>
    <cellStyle name="Normal_ADITAnalysisID090805 3" xfId="253" xr:uid="{00000000-0005-0000-0000-000097010000}"/>
    <cellStyle name="Normal_ADITAnalysisID090805 4 2" xfId="254" xr:uid="{00000000-0005-0000-0000-000098010000}"/>
    <cellStyle name="Normal_ATC Projected 2008 Monthly Plant Balances for Attachment O 2 (2)" xfId="255" xr:uid="{00000000-0005-0000-0000-000099010000}"/>
    <cellStyle name="Normal_AU Period 2 Rev 4-27-00" xfId="256" xr:uid="{00000000-0005-0000-0000-00009A010000}"/>
    <cellStyle name="Normal_AU Period 2 Rev 4-27-00 2" xfId="257" xr:uid="{00000000-0005-0000-0000-00009B010000}"/>
    <cellStyle name="Normal_DeprRateAuth East Dave Davis" xfId="258" xr:uid="{00000000-0005-0000-0000-00009C010000}"/>
    <cellStyle name="Normal_DeprRateAuth East Dave Davis 2 2" xfId="528" xr:uid="{00000000-0005-0000-0000-00009D010000}"/>
    <cellStyle name="Normal_FN1 Ratebase Draft SPP template (6-11-04) v2" xfId="259" xr:uid="{00000000-0005-0000-0000-00009E010000}"/>
    <cellStyle name="Normal_I&amp;M-AK-1" xfId="260" xr:uid="{00000000-0005-0000-0000-00009F010000}"/>
    <cellStyle name="Normal_Revised 1-21-10  Deprec Summary" xfId="261" xr:uid="{00000000-0005-0000-0000-0000A0010000}"/>
    <cellStyle name="Normal_Schedule O Info for Mike" xfId="262" xr:uid="{00000000-0005-0000-0000-0000A1010000}"/>
    <cellStyle name="Normal_spp calc - revsd rev crd" xfId="263" xr:uid="{00000000-0005-0000-0000-0000A2010000}"/>
    <cellStyle name="Note" xfId="264" builtinId="10" customBuiltin="1"/>
    <cellStyle name="Note 2" xfId="265" xr:uid="{00000000-0005-0000-0000-0000A4010000}"/>
    <cellStyle name="Output" xfId="266" builtinId="21" customBuiltin="1"/>
    <cellStyle name="Output 2" xfId="267" xr:uid="{00000000-0005-0000-0000-0000A6010000}"/>
    <cellStyle name="Percent" xfId="268" builtinId="5"/>
    <cellStyle name="Percent 10" xfId="484" xr:uid="{00000000-0005-0000-0000-0000A8010000}"/>
    <cellStyle name="Percent 11" xfId="524" xr:uid="{00000000-0005-0000-0000-0000A9010000}"/>
    <cellStyle name="Percent 12" xfId="532" xr:uid="{00000000-0005-0000-0000-0000AA010000}"/>
    <cellStyle name="Percent 13" xfId="536" xr:uid="{08FF61E9-EC7A-4589-915F-112476002267}"/>
    <cellStyle name="Percent 2" xfId="269" xr:uid="{00000000-0005-0000-0000-0000AB010000}"/>
    <cellStyle name="Percent 2 2" xfId="270" xr:uid="{00000000-0005-0000-0000-0000AC010000}"/>
    <cellStyle name="Percent 2 2 2" xfId="486" xr:uid="{00000000-0005-0000-0000-0000AD010000}"/>
    <cellStyle name="Percent 2 3" xfId="485" xr:uid="{00000000-0005-0000-0000-0000AE010000}"/>
    <cellStyle name="Percent 3" xfId="271" xr:uid="{00000000-0005-0000-0000-0000AF010000}"/>
    <cellStyle name="Percent 3 2" xfId="272" xr:uid="{00000000-0005-0000-0000-0000B0010000}"/>
    <cellStyle name="Percent 3 2 2" xfId="488" xr:uid="{00000000-0005-0000-0000-0000B1010000}"/>
    <cellStyle name="Percent 3 3" xfId="273" xr:uid="{00000000-0005-0000-0000-0000B2010000}"/>
    <cellStyle name="Percent 3 3 2" xfId="274" xr:uid="{00000000-0005-0000-0000-0000B3010000}"/>
    <cellStyle name="Percent 3 3 2 2" xfId="490" xr:uid="{00000000-0005-0000-0000-0000B4010000}"/>
    <cellStyle name="Percent 3 3 3" xfId="275" xr:uid="{00000000-0005-0000-0000-0000B5010000}"/>
    <cellStyle name="Percent 3 3 3 2" xfId="491" xr:uid="{00000000-0005-0000-0000-0000B6010000}"/>
    <cellStyle name="Percent 3 3 4" xfId="489" xr:uid="{00000000-0005-0000-0000-0000B7010000}"/>
    <cellStyle name="Percent 3 4" xfId="276" xr:uid="{00000000-0005-0000-0000-0000B8010000}"/>
    <cellStyle name="Percent 3 4 2" xfId="277" xr:uid="{00000000-0005-0000-0000-0000B9010000}"/>
    <cellStyle name="Percent 3 4 2 2" xfId="493" xr:uid="{00000000-0005-0000-0000-0000BA010000}"/>
    <cellStyle name="Percent 3 4 3" xfId="278" xr:uid="{00000000-0005-0000-0000-0000BB010000}"/>
    <cellStyle name="Percent 3 4 3 2" xfId="494" xr:uid="{00000000-0005-0000-0000-0000BC010000}"/>
    <cellStyle name="Percent 3 4 4" xfId="492" xr:uid="{00000000-0005-0000-0000-0000BD010000}"/>
    <cellStyle name="Percent 3 5" xfId="279" xr:uid="{00000000-0005-0000-0000-0000BE010000}"/>
    <cellStyle name="Percent 3 5 2" xfId="495" xr:uid="{00000000-0005-0000-0000-0000BF010000}"/>
    <cellStyle name="Percent 3 6" xfId="280" xr:uid="{00000000-0005-0000-0000-0000C0010000}"/>
    <cellStyle name="Percent 3 6 2" xfId="281" xr:uid="{00000000-0005-0000-0000-0000C1010000}"/>
    <cellStyle name="Percent 3 6 2 2" xfId="497" xr:uid="{00000000-0005-0000-0000-0000C2010000}"/>
    <cellStyle name="Percent 3 6 3" xfId="496" xr:uid="{00000000-0005-0000-0000-0000C3010000}"/>
    <cellStyle name="Percent 3 7" xfId="282" xr:uid="{00000000-0005-0000-0000-0000C4010000}"/>
    <cellStyle name="Percent 3 7 2" xfId="498" xr:uid="{00000000-0005-0000-0000-0000C5010000}"/>
    <cellStyle name="Percent 3 8" xfId="499" xr:uid="{00000000-0005-0000-0000-0000C6010000}"/>
    <cellStyle name="Percent 3 9" xfId="487" xr:uid="{00000000-0005-0000-0000-0000C7010000}"/>
    <cellStyle name="Percent 4" xfId="283" xr:uid="{00000000-0005-0000-0000-0000C8010000}"/>
    <cellStyle name="Percent 4 2" xfId="284" xr:uid="{00000000-0005-0000-0000-0000C9010000}"/>
    <cellStyle name="Percent 4 2 2" xfId="501" xr:uid="{00000000-0005-0000-0000-0000CA010000}"/>
    <cellStyle name="Percent 4 3" xfId="285" xr:uid="{00000000-0005-0000-0000-0000CB010000}"/>
    <cellStyle name="Percent 4 3 2" xfId="502" xr:uid="{00000000-0005-0000-0000-0000CC010000}"/>
    <cellStyle name="Percent 4 4" xfId="500" xr:uid="{00000000-0005-0000-0000-0000CD010000}"/>
    <cellStyle name="Percent 5" xfId="286" xr:uid="{00000000-0005-0000-0000-0000CE010000}"/>
    <cellStyle name="Percent 5 2" xfId="287" xr:uid="{00000000-0005-0000-0000-0000CF010000}"/>
    <cellStyle name="Percent 5 2 2" xfId="504" xr:uid="{00000000-0005-0000-0000-0000D0010000}"/>
    <cellStyle name="Percent 5 3" xfId="503" xr:uid="{00000000-0005-0000-0000-0000D1010000}"/>
    <cellStyle name="Percent 6" xfId="288" xr:uid="{00000000-0005-0000-0000-0000D2010000}"/>
    <cellStyle name="Percent 6 2" xfId="505" xr:uid="{00000000-0005-0000-0000-0000D3010000}"/>
    <cellStyle name="Percent 7" xfId="289" xr:uid="{00000000-0005-0000-0000-0000D4010000}"/>
    <cellStyle name="Percent 7 2" xfId="290" xr:uid="{00000000-0005-0000-0000-0000D5010000}"/>
    <cellStyle name="Percent 7 2 2" xfId="507" xr:uid="{00000000-0005-0000-0000-0000D6010000}"/>
    <cellStyle name="Percent 7 3" xfId="291" xr:uid="{00000000-0005-0000-0000-0000D7010000}"/>
    <cellStyle name="Percent 7 3 2" xfId="508" xr:uid="{00000000-0005-0000-0000-0000D8010000}"/>
    <cellStyle name="Percent 7 4" xfId="506" xr:uid="{00000000-0005-0000-0000-0000D9010000}"/>
    <cellStyle name="Percent 8" xfId="292" xr:uid="{00000000-0005-0000-0000-0000DA010000}"/>
    <cellStyle name="Percent 8 2" xfId="509" xr:uid="{00000000-0005-0000-0000-0000DB010000}"/>
    <cellStyle name="Percent 9" xfId="510" xr:uid="{00000000-0005-0000-0000-0000DC010000}"/>
    <cellStyle name="PSChar" xfId="293" xr:uid="{00000000-0005-0000-0000-0000DD010000}"/>
    <cellStyle name="PSDate" xfId="294" xr:uid="{00000000-0005-0000-0000-0000DE010000}"/>
    <cellStyle name="PSDec" xfId="295" xr:uid="{00000000-0005-0000-0000-0000DF010000}"/>
    <cellStyle name="PSdesc" xfId="296" xr:uid="{00000000-0005-0000-0000-0000E0010000}"/>
    <cellStyle name="PSdesc 2" xfId="511" xr:uid="{00000000-0005-0000-0000-0000E1010000}"/>
    <cellStyle name="PSHeading" xfId="297" xr:uid="{00000000-0005-0000-0000-0000E2010000}"/>
    <cellStyle name="PSInt" xfId="298" xr:uid="{00000000-0005-0000-0000-0000E3010000}"/>
    <cellStyle name="PSSpacer" xfId="299" xr:uid="{00000000-0005-0000-0000-0000E4010000}"/>
    <cellStyle name="PStest" xfId="300" xr:uid="{00000000-0005-0000-0000-0000E5010000}"/>
    <cellStyle name="PStest 2" xfId="512" xr:uid="{00000000-0005-0000-0000-0000E6010000}"/>
    <cellStyle name="R00A" xfId="301" xr:uid="{00000000-0005-0000-0000-0000E7010000}"/>
    <cellStyle name="R00B" xfId="302" xr:uid="{00000000-0005-0000-0000-0000E8010000}"/>
    <cellStyle name="R00L" xfId="303" xr:uid="{00000000-0005-0000-0000-0000E9010000}"/>
    <cellStyle name="R01A" xfId="304" xr:uid="{00000000-0005-0000-0000-0000EA010000}"/>
    <cellStyle name="R01B" xfId="305" xr:uid="{00000000-0005-0000-0000-0000EB010000}"/>
    <cellStyle name="R01H" xfId="306" xr:uid="{00000000-0005-0000-0000-0000EC010000}"/>
    <cellStyle name="R01L" xfId="307" xr:uid="{00000000-0005-0000-0000-0000ED010000}"/>
    <cellStyle name="R02A" xfId="308" xr:uid="{00000000-0005-0000-0000-0000EE010000}"/>
    <cellStyle name="R02B" xfId="309" xr:uid="{00000000-0005-0000-0000-0000EF010000}"/>
    <cellStyle name="R02B 2" xfId="513" xr:uid="{00000000-0005-0000-0000-0000F0010000}"/>
    <cellStyle name="R02H" xfId="310" xr:uid="{00000000-0005-0000-0000-0000F1010000}"/>
    <cellStyle name="R02L" xfId="311" xr:uid="{00000000-0005-0000-0000-0000F2010000}"/>
    <cellStyle name="R03A" xfId="312" xr:uid="{00000000-0005-0000-0000-0000F3010000}"/>
    <cellStyle name="R03B" xfId="313" xr:uid="{00000000-0005-0000-0000-0000F4010000}"/>
    <cellStyle name="R03B 2" xfId="514" xr:uid="{00000000-0005-0000-0000-0000F5010000}"/>
    <cellStyle name="R03H" xfId="314" xr:uid="{00000000-0005-0000-0000-0000F6010000}"/>
    <cellStyle name="R03L" xfId="315" xr:uid="{00000000-0005-0000-0000-0000F7010000}"/>
    <cellStyle name="R04A" xfId="316" xr:uid="{00000000-0005-0000-0000-0000F8010000}"/>
    <cellStyle name="R04B" xfId="317" xr:uid="{00000000-0005-0000-0000-0000F9010000}"/>
    <cellStyle name="R04B 2" xfId="515" xr:uid="{00000000-0005-0000-0000-0000FA010000}"/>
    <cellStyle name="R04H" xfId="318" xr:uid="{00000000-0005-0000-0000-0000FB010000}"/>
    <cellStyle name="R04L" xfId="319" xr:uid="{00000000-0005-0000-0000-0000FC010000}"/>
    <cellStyle name="R05A" xfId="320" xr:uid="{00000000-0005-0000-0000-0000FD010000}"/>
    <cellStyle name="R05B" xfId="321" xr:uid="{00000000-0005-0000-0000-0000FE010000}"/>
    <cellStyle name="R05B 2" xfId="516" xr:uid="{00000000-0005-0000-0000-0000FF010000}"/>
    <cellStyle name="R05H" xfId="322" xr:uid="{00000000-0005-0000-0000-000000020000}"/>
    <cellStyle name="R05L" xfId="323" xr:uid="{00000000-0005-0000-0000-000001020000}"/>
    <cellStyle name="R05L 2" xfId="517" xr:uid="{00000000-0005-0000-0000-000002020000}"/>
    <cellStyle name="R06A" xfId="324" xr:uid="{00000000-0005-0000-0000-000003020000}"/>
    <cellStyle name="R06B" xfId="325" xr:uid="{00000000-0005-0000-0000-000004020000}"/>
    <cellStyle name="R06B 2" xfId="518" xr:uid="{00000000-0005-0000-0000-000005020000}"/>
    <cellStyle name="R06H" xfId="326" xr:uid="{00000000-0005-0000-0000-000006020000}"/>
    <cellStyle name="R06L" xfId="327" xr:uid="{00000000-0005-0000-0000-000007020000}"/>
    <cellStyle name="R07A" xfId="328" xr:uid="{00000000-0005-0000-0000-000008020000}"/>
    <cellStyle name="R07B" xfId="329" xr:uid="{00000000-0005-0000-0000-000009020000}"/>
    <cellStyle name="R07B 2" xfId="519" xr:uid="{00000000-0005-0000-0000-00000A020000}"/>
    <cellStyle name="R07H" xfId="330" xr:uid="{00000000-0005-0000-0000-00000B020000}"/>
    <cellStyle name="R07L" xfId="331" xr:uid="{00000000-0005-0000-0000-00000C020000}"/>
    <cellStyle name="Title" xfId="332" builtinId="15" customBuiltin="1"/>
    <cellStyle name="Title 2" xfId="333" xr:uid="{00000000-0005-0000-0000-00000E020000}"/>
    <cellStyle name="Total" xfId="334" builtinId="25" customBuiltin="1"/>
    <cellStyle name="Total 2" xfId="335" xr:uid="{00000000-0005-0000-0000-000010020000}"/>
    <cellStyle name="Total 2 2" xfId="521" xr:uid="{00000000-0005-0000-0000-000011020000}"/>
    <cellStyle name="Total 3" xfId="520" xr:uid="{00000000-0005-0000-0000-000012020000}"/>
    <cellStyle name="Warning Text" xfId="336" builtinId="11" customBuiltin="1"/>
    <cellStyle name="Warning Text 2" xfId="337" xr:uid="{00000000-0005-0000-0000-000014020000}"/>
  </cellStyles>
  <dxfs count="26">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13"/>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icing\dbw\SWPP%20Form%20Rate\Lila%20added\AEP%20SPP%20For%20Rate%20Proj%20w%2013%20mth%20rate%20base%20june-07%20-%20June-08x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ERC/FORMULA%20RATES/AEP%20East%20Transmission%20Formula%20Rates/2016%20PJM%20Formula%20Revisions%20(ER17-405-406)/Initial%20Filing%20Package/Templates/ER17-405%20H-14B%20-%20AEP%20OpCo%20Blank%20Templat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FERC\FORMULA%20RATES\AEP%20East%20Transmission%20Formula%20Rates\2016%20PJM%20Formula%20Revisions%20(ER17-405-406)\Initial%20Filing%20Package\Templates\ER17-405%20H-14B%20-%20AEP%20OpCo%20Blank%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act of Revisions"/>
      <sheetName val="Zonal Rates"/>
      <sheetName val="Sch 1 Rates"/>
      <sheetName val="Load WS"/>
      <sheetName val="PSO 2008 TCOS 13 Mnth"/>
      <sheetName val="PSO WsA Rev Credits"/>
      <sheetName val="PSO WsB IPP"/>
      <sheetName val="PSO WsC RB Tax"/>
      <sheetName val="PSO Ws C-1 2008 ADIT Avg Bal"/>
      <sheetName val="PSO WsD Misc Exp"/>
      <sheetName val="PSO WsE Acct 561"/>
      <sheetName val="PSO WsF Inc Prjts"/>
      <sheetName val="PSO WsG BPU"/>
      <sheetName val="PSO WsI Bal Sheet"/>
      <sheetName val="PSO WsI - 1 13 Month Prepaids"/>
      <sheetName val="PSO WsJ Tax"/>
      <sheetName val="PSO WsK CWIP"/>
      <sheetName val="SWP TCOS 2008 13 Month"/>
      <sheetName val="SWP WsA Rev Credits"/>
      <sheetName val="SWP WsB IPP"/>
      <sheetName val="SWP WsC RB Tax"/>
      <sheetName val="SWP WsC-1 ADIT 2008 13 Mth Avg "/>
      <sheetName val="SWP WsD Misc Exp"/>
      <sheetName val="SWP WsE Acct 561"/>
      <sheetName val="SWP WsF Inc Prjts"/>
      <sheetName val="SWP WsG BPU"/>
      <sheetName val="SWP WsI Bal Sheet"/>
      <sheetName val="SWP WsI-1 13 Month Prepaids "/>
      <sheetName val="SWP WsJ Tax"/>
      <sheetName val="SWP WsK CWIP"/>
      <sheetName val="FERC Balance Sheet"/>
      <sheetName val="PSO 13 Month Rate Base"/>
      <sheetName val="SWEPCo 13 Month Rate Base"/>
      <sheetName val="Plant Detail - Book"/>
      <sheetName val="FERC Income Stmt w Details"/>
      <sheetName val="Depreciation Detail"/>
      <sheetName val="Taxes Other Deta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17">
          <cell r="I317" t="str">
            <v>CE</v>
          </cell>
          <cell r="J317">
            <v>6.3272239966292818E-2</v>
          </cell>
        </row>
        <row r="318">
          <cell r="I318" t="str">
            <v>DA</v>
          </cell>
          <cell r="J318">
            <v>1</v>
          </cell>
        </row>
        <row r="319">
          <cell r="I319" t="str">
            <v>GP(b)</v>
          </cell>
          <cell r="J319">
            <v>0.17830317329522682</v>
          </cell>
        </row>
        <row r="320">
          <cell r="I320" t="str">
            <v>GP(p)</v>
          </cell>
          <cell r="J320">
            <v>0.17830317329522682</v>
          </cell>
        </row>
        <row r="321">
          <cell r="I321" t="str">
            <v>GTD(p)</v>
          </cell>
          <cell r="J321">
            <v>0.35796417623075211</v>
          </cell>
        </row>
        <row r="322">
          <cell r="I322" t="str">
            <v>GTD(h)</v>
          </cell>
          <cell r="J322">
            <v>0.35796417623075211</v>
          </cell>
        </row>
        <row r="323">
          <cell r="I323" t="str">
            <v>NA</v>
          </cell>
          <cell r="J323">
            <v>0</v>
          </cell>
        </row>
        <row r="324">
          <cell r="I324" t="str">
            <v>NP(b)</v>
          </cell>
          <cell r="J324">
            <v>0.21388078637862473</v>
          </cell>
        </row>
        <row r="325">
          <cell r="I325" t="str">
            <v>NP(p)</v>
          </cell>
          <cell r="J325">
            <v>0.21388078637862473</v>
          </cell>
        </row>
        <row r="326">
          <cell r="I326" t="str">
            <v>TP</v>
          </cell>
          <cell r="J326">
            <v>0.97384420488446088</v>
          </cell>
        </row>
        <row r="327">
          <cell r="I327" t="str">
            <v>TP1</v>
          </cell>
          <cell r="J327">
            <v>0.98824625472059235</v>
          </cell>
        </row>
        <row r="328">
          <cell r="I328" t="str">
            <v>W/S</v>
          </cell>
          <cell r="J328">
            <v>6.3272239966292818E-2</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OS"/>
      <sheetName val="WS A  - RB Support "/>
      <sheetName val="WS B ADIT &amp; ITC"/>
      <sheetName val="WS C  - Working Capital"/>
      <sheetName val="WS D IPP Credits"/>
      <sheetName val="WS E Rev Credits"/>
      <sheetName val="WS F Misc Exp"/>
      <sheetName val="WS G  State Tax Rate"/>
      <sheetName val="WS H Other Taxes"/>
      <sheetName val="WS H-1-Detail of Tax Amts"/>
      <sheetName val="WS I Reserved"/>
      <sheetName val="WS J PROJECTED RTEP RR"/>
      <sheetName val="WS K TRUE-UP RTEP RR"/>
      <sheetName val="WS L Reserved"/>
      <sheetName val="WS M - Avg Cap Structure"/>
      <sheetName val="WS N - Sale of Plant Held"/>
      <sheetName val="WS O"/>
      <sheetName val="APC - WS P Dep. Rates"/>
      <sheetName val="IMC - WS P Dep. Rates"/>
      <sheetName val="KGP - WS P Dep. Rates"/>
      <sheetName val="KPC - WS P Dep. Rates"/>
      <sheetName val="OPC - WS P Dep. Rates"/>
      <sheetName val="WPC-WS P Dep. Rates"/>
      <sheetName val="WS Q Interest"/>
      <sheetName val="#REF"/>
    </sheetNames>
    <sheetDataSet>
      <sheetData sheetId="0">
        <row r="105">
          <cell r="J105" t="e">
            <v>#DIV/0!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OS"/>
      <sheetName val="WS A  - RB Support "/>
      <sheetName val="WS B ADIT &amp; ITC"/>
      <sheetName val="WS C  - Working Capital"/>
      <sheetName val="WS D IPP Credits"/>
      <sheetName val="WS E Rev Credits"/>
      <sheetName val="WS F Misc Exp"/>
      <sheetName val="WS G  State Tax Rate"/>
      <sheetName val="WS H Other Taxes"/>
      <sheetName val="WS H-1-Detail of Tax Amts"/>
      <sheetName val="WS I Reserved"/>
      <sheetName val="WS J PROJECTED RTEP RR"/>
      <sheetName val="WS K TRUE-UP RTEP RR"/>
      <sheetName val="WS L Reserved"/>
      <sheetName val="WS M - Avg Cap Structure"/>
      <sheetName val="WS N - Sale of Plant Held"/>
      <sheetName val="WS O"/>
      <sheetName val="APC - WS P Dep. Rates"/>
      <sheetName val="IMC - WS P Dep. Rates"/>
      <sheetName val="KGP - WS P Dep. Rates"/>
      <sheetName val="KPC - WS P Dep. Rates"/>
      <sheetName val="OPC - WS P Dep. Rates"/>
      <sheetName val="WPC-WS P Dep. Rates"/>
      <sheetName val="WS Q Interest"/>
      <sheetName val="#REF"/>
    </sheetNames>
    <sheetDataSet>
      <sheetData sheetId="0" refreshError="1">
        <row r="105">
          <cell r="J105" t="e">
            <v>#DIV/0!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U1229"/>
  <sheetViews>
    <sheetView tabSelected="1" view="pageBreakPreview" zoomScale="75" zoomScaleNormal="85" zoomScaleSheetLayoutView="75" zoomScalePageLayoutView="50" workbookViewId="0">
      <selection activeCell="D5" sqref="D5"/>
    </sheetView>
  </sheetViews>
  <sheetFormatPr defaultColWidth="11.42578125" defaultRowHeight="15"/>
  <cols>
    <col min="1" max="1" width="4.5703125" style="302" customWidth="1"/>
    <col min="2" max="2" width="7.85546875" style="301" customWidth="1"/>
    <col min="3" max="3" width="1.85546875" style="302" customWidth="1"/>
    <col min="4" max="4" width="70.140625" style="302" customWidth="1"/>
    <col min="5" max="5" width="25.5703125" style="302" customWidth="1"/>
    <col min="6" max="6" width="22.42578125" style="302" customWidth="1"/>
    <col min="7" max="7" width="20.5703125" style="302" customWidth="1"/>
    <col min="8" max="8" width="16.140625" style="302" customWidth="1"/>
    <col min="9" max="9" width="11.42578125" style="302" customWidth="1"/>
    <col min="10" max="10" width="21.5703125" style="302" bestFit="1" customWidth="1"/>
    <col min="11" max="11" width="4.5703125" style="302" customWidth="1"/>
    <col min="12" max="12" width="23" style="302" customWidth="1"/>
    <col min="13" max="13" width="5" style="302" customWidth="1"/>
    <col min="14" max="14" width="31.140625" style="302" customWidth="1"/>
    <col min="15" max="15" width="8.140625" style="302" customWidth="1"/>
    <col min="16" max="16" width="21.85546875" style="302" customWidth="1"/>
    <col min="17" max="17" width="11.42578125" style="302" customWidth="1"/>
    <col min="18" max="18" width="20.5703125" style="302" bestFit="1" customWidth="1"/>
    <col min="19" max="16384" width="11.42578125" style="302"/>
  </cols>
  <sheetData>
    <row r="1" spans="1:15" ht="15.75">
      <c r="A1" s="881" t="s">
        <v>114</v>
      </c>
    </row>
    <row r="2" spans="1:15" ht="15.75">
      <c r="A2" s="881" t="s">
        <v>114</v>
      </c>
    </row>
    <row r="3" spans="1:15" ht="15.75">
      <c r="A3" s="302" t="s">
        <v>114</v>
      </c>
      <c r="D3" s="303"/>
      <c r="E3" s="304"/>
      <c r="F3" s="304"/>
      <c r="G3" s="305"/>
      <c r="I3" s="306"/>
      <c r="J3" s="306"/>
      <c r="K3" s="306"/>
      <c r="L3" s="307"/>
    </row>
    <row r="4" spans="1:15">
      <c r="J4" s="302" t="s">
        <v>819</v>
      </c>
      <c r="L4" s="824">
        <v>2022</v>
      </c>
    </row>
    <row r="5" spans="1:15">
      <c r="D5" s="308"/>
      <c r="E5" s="308"/>
      <c r="F5" s="309" t="s">
        <v>385</v>
      </c>
      <c r="G5" s="310"/>
      <c r="H5" s="310"/>
      <c r="J5" s="308"/>
      <c r="K5" s="311"/>
      <c r="L5" s="311"/>
      <c r="M5" s="312"/>
      <c r="O5" s="313"/>
    </row>
    <row r="6" spans="1:15">
      <c r="D6" s="308"/>
      <c r="E6" s="314"/>
      <c r="F6" s="309" t="s">
        <v>386</v>
      </c>
      <c r="G6" s="310"/>
      <c r="H6" s="310"/>
      <c r="J6" s="314"/>
      <c r="K6" s="311"/>
      <c r="L6" s="311"/>
      <c r="M6" s="312"/>
    </row>
    <row r="7" spans="1:15">
      <c r="D7" s="311"/>
      <c r="E7" s="311"/>
      <c r="F7" s="315" t="str">
        <f>"Utilizing  Actual/Projected FERC Form 1 Data"</f>
        <v>Utilizing  Actual/Projected FERC Form 1 Data</v>
      </c>
      <c r="G7" s="310"/>
      <c r="H7" s="310"/>
      <c r="J7" s="311"/>
      <c r="K7" s="311"/>
      <c r="L7" s="311"/>
      <c r="M7" s="312"/>
    </row>
    <row r="8" spans="1:15">
      <c r="B8" s="316"/>
      <c r="C8" s="317"/>
      <c r="D8" s="311"/>
      <c r="H8" s="318"/>
      <c r="I8" s="318"/>
      <c r="J8" s="318"/>
      <c r="K8" s="318"/>
      <c r="L8" s="311"/>
      <c r="M8" s="311"/>
    </row>
    <row r="9" spans="1:15" ht="15.75">
      <c r="B9" s="316"/>
      <c r="C9" s="317"/>
      <c r="D9" s="319"/>
      <c r="E9" s="311"/>
      <c r="F9" s="320" t="s">
        <v>803</v>
      </c>
      <c r="G9" s="321"/>
      <c r="H9" s="311"/>
      <c r="I9" s="311"/>
      <c r="J9" s="311"/>
      <c r="K9" s="311"/>
      <c r="L9" s="319"/>
      <c r="M9" s="311"/>
    </row>
    <row r="10" spans="1:15">
      <c r="B10" s="316"/>
      <c r="C10" s="317"/>
      <c r="D10" s="311"/>
      <c r="E10" s="311"/>
      <c r="F10" s="322"/>
      <c r="G10" s="321"/>
      <c r="H10" s="311"/>
      <c r="I10" s="311"/>
      <c r="J10" s="311"/>
      <c r="K10" s="311"/>
      <c r="L10" s="319"/>
      <c r="M10" s="311"/>
    </row>
    <row r="11" spans="1:15">
      <c r="B11" s="316" t="s">
        <v>169</v>
      </c>
      <c r="C11" s="317"/>
      <c r="D11" s="311"/>
      <c r="E11" s="311"/>
      <c r="F11" s="311"/>
      <c r="G11" s="321"/>
      <c r="H11" s="311"/>
      <c r="I11" s="311"/>
      <c r="J11" s="311"/>
      <c r="K11" s="311"/>
      <c r="L11" s="317" t="s">
        <v>115</v>
      </c>
      <c r="M11" s="311"/>
    </row>
    <row r="12" spans="1:15" ht="15.75" thickBot="1">
      <c r="B12" s="323" t="s">
        <v>117</v>
      </c>
      <c r="C12" s="324"/>
      <c r="D12" s="311"/>
      <c r="E12" s="324"/>
      <c r="F12" s="311"/>
      <c r="G12" s="311"/>
      <c r="H12" s="311"/>
      <c r="I12" s="311"/>
      <c r="J12" s="311"/>
      <c r="K12" s="311"/>
      <c r="L12" s="325" t="s">
        <v>170</v>
      </c>
      <c r="M12" s="311"/>
    </row>
    <row r="13" spans="1:15">
      <c r="B13" s="316">
        <f>1</f>
        <v>1</v>
      </c>
      <c r="C13" s="317"/>
      <c r="D13" s="326" t="s">
        <v>111</v>
      </c>
      <c r="E13" s="327" t="str">
        <f>"(ln "&amp;B213&amp;")"</f>
        <v>(ln 130)</v>
      </c>
      <c r="F13" s="327"/>
      <c r="G13" s="328"/>
      <c r="H13" s="329"/>
      <c r="I13" s="311"/>
      <c r="J13" s="311"/>
      <c r="K13" s="311"/>
      <c r="L13" s="330">
        <f>+L213</f>
        <v>15049935.749021769</v>
      </c>
      <c r="M13" s="311"/>
    </row>
    <row r="14" spans="1:15" ht="15.75" thickBot="1">
      <c r="B14" s="316"/>
      <c r="C14" s="317"/>
      <c r="E14" s="331"/>
      <c r="F14" s="332"/>
      <c r="G14" s="325" t="s">
        <v>118</v>
      </c>
      <c r="H14" s="314"/>
      <c r="I14" s="333" t="s">
        <v>119</v>
      </c>
      <c r="J14" s="333"/>
      <c r="K14" s="311"/>
      <c r="L14" s="328"/>
      <c r="M14" s="311"/>
    </row>
    <row r="15" spans="1:15">
      <c r="B15" s="316">
        <f>+B13+1</f>
        <v>2</v>
      </c>
      <c r="C15" s="317"/>
      <c r="D15" s="334" t="s">
        <v>168</v>
      </c>
      <c r="E15" s="331" t="s">
        <v>613</v>
      </c>
      <c r="F15" s="332"/>
      <c r="G15" s="335">
        <f>+'WS E Rev Credits'!K31</f>
        <v>4124787.99</v>
      </c>
      <c r="H15" s="332"/>
      <c r="I15" s="336" t="s">
        <v>129</v>
      </c>
      <c r="J15" s="337">
        <v>1</v>
      </c>
      <c r="K15" s="314"/>
      <c r="L15" s="338">
        <f>+J15*G15</f>
        <v>4124787.99</v>
      </c>
      <c r="M15" s="311"/>
    </row>
    <row r="16" spans="1:15">
      <c r="B16" s="316"/>
      <c r="C16" s="317"/>
      <c r="D16" s="334"/>
      <c r="F16" s="314"/>
      <c r="L16" s="339"/>
      <c r="M16" s="311"/>
    </row>
    <row r="17" spans="2:13">
      <c r="B17" s="316"/>
      <c r="C17" s="317"/>
      <c r="D17" s="334"/>
      <c r="F17" s="314"/>
      <c r="L17" s="340"/>
      <c r="M17" s="311"/>
    </row>
    <row r="18" spans="2:13">
      <c r="B18" s="316">
        <f>+B15+1</f>
        <v>3</v>
      </c>
      <c r="C18" s="317"/>
      <c r="D18" s="334" t="s">
        <v>533</v>
      </c>
      <c r="E18" s="302" t="s">
        <v>614</v>
      </c>
      <c r="F18" s="314"/>
      <c r="L18" s="338">
        <f>'WS E Rev Credits'!K39</f>
        <v>0</v>
      </c>
      <c r="M18" s="311"/>
    </row>
    <row r="19" spans="2:13">
      <c r="B19" s="316"/>
      <c r="C19" s="317"/>
      <c r="D19" s="334"/>
      <c r="F19" s="314"/>
      <c r="L19" s="340"/>
      <c r="M19" s="311"/>
    </row>
    <row r="20" spans="2:13" ht="15.75" thickBot="1">
      <c r="B20" s="341">
        <f>+B18+1</f>
        <v>4</v>
      </c>
      <c r="C20" s="342"/>
      <c r="D20" s="343" t="s">
        <v>463</v>
      </c>
      <c r="E20" s="344" t="str">
        <f>"(ln "&amp;B13&amp;" less  ln " &amp;B15&amp;" plus ln "&amp;B18&amp;")"</f>
        <v>(ln 1 less  ln 2 plus ln 3)</v>
      </c>
      <c r="F20" s="311"/>
      <c r="H20" s="314"/>
      <c r="I20" s="345"/>
      <c r="J20" s="314"/>
      <c r="K20" s="314"/>
      <c r="L20" s="346">
        <f>+L13-L15+L18</f>
        <v>10925147.759021768</v>
      </c>
      <c r="M20" s="311"/>
    </row>
    <row r="21" spans="2:13" ht="15.75" thickTop="1">
      <c r="B21" s="341"/>
      <c r="C21" s="342"/>
      <c r="D21" s="343"/>
      <c r="E21" s="344"/>
      <c r="F21" s="311"/>
      <c r="H21" s="314"/>
      <c r="I21" s="345"/>
      <c r="J21" s="314"/>
      <c r="K21" s="314"/>
      <c r="L21" s="338"/>
      <c r="M21" s="311"/>
    </row>
    <row r="22" spans="2:13">
      <c r="B22" s="341"/>
      <c r="C22" s="342"/>
      <c r="D22" s="343"/>
      <c r="E22" s="344"/>
      <c r="F22" s="311"/>
      <c r="H22" s="314"/>
      <c r="I22" s="345"/>
      <c r="J22" s="314"/>
      <c r="K22" s="314"/>
      <c r="L22" s="338"/>
      <c r="M22" s="311"/>
    </row>
    <row r="23" spans="2:13">
      <c r="B23" s="341"/>
      <c r="C23" s="342"/>
      <c r="D23" s="334"/>
      <c r="E23" s="344"/>
      <c r="F23" s="311"/>
      <c r="H23" s="314"/>
      <c r="I23" s="345"/>
      <c r="J23" s="314"/>
      <c r="K23" s="314"/>
      <c r="L23" s="347"/>
      <c r="M23" s="311"/>
    </row>
    <row r="24" spans="2:13" ht="15" customHeight="1">
      <c r="B24" s="1547" t="str">
        <f>"MEMO:  The Carrying Charge Calculations on lines "&amp;B30&amp;" to "&amp;B37&amp;" below are used in calculating project revenue requirements billed through PJM Schedule 12, Transmission Enhancement Charges.  The total non-incentive revenue requirements for these projects shown on line "&amp;B27&amp;" is included in the total on line "&amp;B20&amp;"."</f>
        <v>MEMO:  The Carrying Charge Calculations on lines 7 to 12 below are used in calculating project revenue requirements billed through PJM Schedule 12, Transmission Enhancement Charges.  The total non-incentive revenue requirements for these projects shown on line 5 is included in the total on line 4.</v>
      </c>
      <c r="C24" s="1547"/>
      <c r="D24" s="1547"/>
      <c r="E24" s="1547"/>
      <c r="F24" s="1547"/>
      <c r="G24" s="1547"/>
      <c r="H24" s="1547"/>
      <c r="I24" s="1547"/>
    </row>
    <row r="25" spans="2:13" ht="35.25" customHeight="1">
      <c r="B25" s="1547"/>
      <c r="C25" s="1547"/>
      <c r="D25" s="1547"/>
      <c r="E25" s="1547"/>
      <c r="F25" s="1547"/>
      <c r="G25" s="1547"/>
      <c r="H25" s="1547"/>
      <c r="I25" s="1547"/>
    </row>
    <row r="26" spans="2:13" ht="15" customHeight="1">
      <c r="B26" s="348"/>
      <c r="C26" s="348"/>
      <c r="D26" s="348"/>
      <c r="E26" s="348"/>
      <c r="F26" s="348"/>
      <c r="G26" s="348"/>
      <c r="H26" s="348"/>
      <c r="I26" s="348"/>
    </row>
    <row r="27" spans="2:13">
      <c r="B27" s="316">
        <f>+B20+1</f>
        <v>5</v>
      </c>
      <c r="C27" s="342"/>
      <c r="D27" s="349" t="s">
        <v>534</v>
      </c>
      <c r="E27" s="331"/>
      <c r="F27" s="332"/>
      <c r="G27" s="350">
        <f>'WS K TRUE-UP RTEP RR'!N22</f>
        <v>112537.96476954849</v>
      </c>
      <c r="H27" s="332"/>
      <c r="I27" s="336" t="s">
        <v>129</v>
      </c>
      <c r="J27" s="337">
        <v>1</v>
      </c>
      <c r="K27" s="327"/>
      <c r="L27" s="351">
        <f>+J27*G27</f>
        <v>112537.96476954849</v>
      </c>
      <c r="M27" s="311"/>
    </row>
    <row r="28" spans="2:13">
      <c r="B28" s="316"/>
      <c r="C28" s="342"/>
      <c r="D28" s="349"/>
      <c r="E28" s="344"/>
      <c r="F28" s="332"/>
      <c r="G28" s="350"/>
      <c r="H28" s="332"/>
      <c r="I28" s="332"/>
      <c r="J28" s="337"/>
      <c r="K28" s="327"/>
      <c r="L28" s="351"/>
      <c r="M28" s="311"/>
    </row>
    <row r="29" spans="2:13">
      <c r="B29" s="341">
        <f>+B27+1</f>
        <v>6</v>
      </c>
      <c r="C29" s="342"/>
      <c r="D29" s="349" t="s">
        <v>373</v>
      </c>
      <c r="E29" s="331"/>
      <c r="F29" s="311"/>
      <c r="G29" s="352"/>
      <c r="H29" s="311"/>
      <c r="J29" s="311"/>
      <c r="K29" s="311"/>
      <c r="M29" s="311"/>
    </row>
    <row r="30" spans="2:13">
      <c r="B30" s="316">
        <f>B29+1</f>
        <v>7</v>
      </c>
      <c r="C30" s="342"/>
      <c r="D30" s="353" t="s">
        <v>250</v>
      </c>
      <c r="E30" s="327" t="str">
        <f>"( (ln "&amp;B13&amp;" - ln "&amp;B168&amp;")/((ln "&amp;$B$91&amp;") x 100) )"</f>
        <v>( (ln 1 - ln 95)/((ln 42) x 100) )</v>
      </c>
      <c r="F30" s="317"/>
      <c r="G30" s="317"/>
      <c r="H30" s="317"/>
      <c r="I30" s="354"/>
      <c r="J30" s="354"/>
      <c r="K30" s="354"/>
      <c r="L30" s="355">
        <f>(L13-L168)/L$91</f>
        <v>0.12065375668995737</v>
      </c>
      <c r="M30" s="311"/>
    </row>
    <row r="31" spans="2:13">
      <c r="B31" s="316">
        <f>B30+1</f>
        <v>8</v>
      </c>
      <c r="C31" s="342"/>
      <c r="D31" s="353" t="s">
        <v>251</v>
      </c>
      <c r="E31" s="327" t="str">
        <f>"(ln "&amp;B30&amp;" / 12)"</f>
        <v>(ln 7 / 12)</v>
      </c>
      <c r="F31" s="317"/>
      <c r="G31" s="317"/>
      <c r="H31" s="317"/>
      <c r="I31" s="354"/>
      <c r="J31" s="354"/>
      <c r="K31" s="354"/>
      <c r="L31" s="356">
        <f>L30/12</f>
        <v>1.0054479724163115E-2</v>
      </c>
      <c r="M31" s="311"/>
    </row>
    <row r="32" spans="2:13">
      <c r="B32" s="316"/>
      <c r="C32" s="342"/>
      <c r="D32" s="353"/>
      <c r="E32" s="327"/>
      <c r="F32" s="317"/>
      <c r="G32" s="317"/>
      <c r="H32" s="317"/>
      <c r="I32" s="354"/>
      <c r="J32" s="354"/>
      <c r="K32" s="354"/>
      <c r="L32" s="356"/>
      <c r="M32" s="311"/>
    </row>
    <row r="33" spans="2:14">
      <c r="B33" s="316">
        <f>B31+1</f>
        <v>9</v>
      </c>
      <c r="C33" s="342"/>
      <c r="D33" s="349" t="str">
        <f>"NET PLANT CARRYING CHARGE ON LINE "&amp;B30&amp;" , w/o depreciation or ROE incentives (Note B)"</f>
        <v>NET PLANT CARRYING CHARGE ON LINE 7 , w/o depreciation or ROE incentives (Note B)</v>
      </c>
      <c r="E33" s="327"/>
      <c r="F33" s="317"/>
      <c r="G33" s="317"/>
      <c r="H33" s="317"/>
      <c r="I33" s="354"/>
      <c r="J33" s="354"/>
      <c r="K33" s="354"/>
      <c r="L33" s="356"/>
      <c r="M33" s="311"/>
    </row>
    <row r="34" spans="2:14">
      <c r="B34" s="316">
        <f>B33+1</f>
        <v>10</v>
      </c>
      <c r="C34" s="342"/>
      <c r="D34" s="353" t="s">
        <v>250</v>
      </c>
      <c r="E34" s="327" t="str">
        <f>"( (ln "&amp;B13&amp;" - ln "&amp;B168&amp;" - ln "&amp;B174&amp;" ) /((ln "&amp;$B$91&amp;") x 100) )"</f>
        <v>( (ln 1 - ln 95 - ln 100 ) /((ln 42) x 100) )</v>
      </c>
      <c r="F34" s="317"/>
      <c r="G34" s="317"/>
      <c r="H34" s="317"/>
      <c r="I34" s="354"/>
      <c r="J34" s="354"/>
      <c r="K34" s="354"/>
      <c r="L34" s="355">
        <f>(L13-L168-L174)/L91</f>
        <v>9.8191454344609908E-2</v>
      </c>
      <c r="M34" s="311"/>
    </row>
    <row r="35" spans="2:14">
      <c r="B35" s="316"/>
      <c r="C35" s="342"/>
      <c r="D35" s="353"/>
      <c r="E35" s="327"/>
      <c r="F35" s="317"/>
      <c r="G35" s="317"/>
      <c r="H35" s="317"/>
      <c r="I35" s="354"/>
      <c r="J35" s="354"/>
      <c r="K35" s="354"/>
      <c r="L35" s="356"/>
      <c r="M35" s="311"/>
    </row>
    <row r="36" spans="2:14">
      <c r="B36" s="316">
        <f>B34+1</f>
        <v>11</v>
      </c>
      <c r="C36" s="342"/>
      <c r="D36" s="349" t="str">
        <f>"NET PLANT CARRYING CHARGE ON LINE "&amp;B34&amp;", w/o Return, income taxes or ROE incentives (Note B)"</f>
        <v>NET PLANT CARRYING CHARGE ON LINE 10, w/o Return, income taxes or ROE incentives (Note B)</v>
      </c>
      <c r="E36" s="327"/>
      <c r="F36" s="357"/>
      <c r="G36" s="357"/>
      <c r="H36" s="357"/>
      <c r="I36" s="357"/>
      <c r="J36" s="357"/>
      <c r="K36" s="357"/>
      <c r="L36" s="357"/>
      <c r="M36" s="319"/>
    </row>
    <row r="37" spans="2:14">
      <c r="B37" s="316">
        <f>B36+1</f>
        <v>12</v>
      </c>
      <c r="C37" s="342"/>
      <c r="D37" s="308" t="s">
        <v>250</v>
      </c>
      <c r="E37" s="327" t="str">
        <f>"( (ln "&amp;B13&amp;" - ln "&amp;B168&amp;" - ln "&amp;B174&amp;" - ln "&amp;B203&amp;" - ln "&amp;B205&amp;") /((ln "&amp;$B$91&amp;") x 100) )"</f>
        <v>( (ln 1 - ln 95 - ln 100 - ln 125 - ln 126) /((ln 42) x 100) )</v>
      </c>
      <c r="F37" s="357"/>
      <c r="G37" s="357"/>
      <c r="H37" s="357"/>
      <c r="I37" s="357"/>
      <c r="J37" s="357"/>
      <c r="K37" s="357"/>
      <c r="L37" s="358">
        <f>(L13-L168-L174-L203-L205)/L91</f>
        <v>2.7855115837534056E-2</v>
      </c>
      <c r="M37" s="319"/>
    </row>
    <row r="38" spans="2:14">
      <c r="B38" s="316"/>
      <c r="C38" s="342"/>
      <c r="D38" s="308"/>
      <c r="E38" s="327"/>
      <c r="F38" s="317"/>
      <c r="G38" s="317"/>
      <c r="H38" s="317"/>
      <c r="I38" s="354"/>
      <c r="J38" s="354"/>
      <c r="K38" s="354"/>
      <c r="L38" s="355"/>
      <c r="M38" s="359"/>
    </row>
    <row r="39" spans="2:14">
      <c r="B39" s="316">
        <f>B37+1</f>
        <v>13</v>
      </c>
      <c r="C39" s="317"/>
      <c r="D39" s="360" t="s">
        <v>589</v>
      </c>
      <c r="E39" s="327"/>
      <c r="F39" s="317"/>
      <c r="G39" s="317"/>
      <c r="H39" s="317"/>
      <c r="I39" s="354"/>
      <c r="J39" s="354"/>
      <c r="K39" s="354"/>
      <c r="L39" s="361">
        <f>'WS K TRUE-UP RTEP RR'!P23</f>
        <v>0</v>
      </c>
      <c r="M39" s="311"/>
    </row>
    <row r="40" spans="2:14">
      <c r="B40" s="316"/>
      <c r="C40" s="317"/>
      <c r="E40" s="327"/>
      <c r="F40" s="317"/>
      <c r="G40" s="317"/>
      <c r="H40" s="317"/>
      <c r="I40" s="354"/>
      <c r="J40" s="354"/>
      <c r="K40" s="354"/>
      <c r="L40" s="355"/>
      <c r="M40" s="311"/>
    </row>
    <row r="41" spans="2:14">
      <c r="B41" s="302"/>
      <c r="C41" s="317"/>
      <c r="E41" s="327"/>
      <c r="F41" s="317"/>
      <c r="G41" s="317"/>
      <c r="H41" s="317"/>
      <c r="I41" s="354"/>
      <c r="J41" s="354"/>
      <c r="K41" s="354"/>
      <c r="L41" s="355"/>
      <c r="M41" s="311"/>
    </row>
    <row r="42" spans="2:14" ht="15.75">
      <c r="B42" s="316">
        <f>+B39+1</f>
        <v>14</v>
      </c>
      <c r="C42" s="317"/>
      <c r="D42" s="1525" t="s">
        <v>432</v>
      </c>
      <c r="E42" s="1525"/>
      <c r="F42" s="1525"/>
      <c r="G42" s="1525"/>
      <c r="H42" s="1525"/>
      <c r="I42" s="1525"/>
      <c r="J42" s="1525"/>
      <c r="K42" s="1525"/>
      <c r="L42" s="1525"/>
      <c r="M42" s="311"/>
    </row>
    <row r="43" spans="2:14">
      <c r="B43" s="316"/>
      <c r="C43" s="317"/>
      <c r="E43" s="327"/>
      <c r="F43" s="317"/>
      <c r="G43" s="317"/>
      <c r="H43" s="317"/>
      <c r="I43" s="354"/>
      <c r="J43" s="354"/>
      <c r="K43" s="354"/>
      <c r="L43" s="355"/>
      <c r="M43" s="311"/>
    </row>
    <row r="44" spans="2:14">
      <c r="B44" s="316">
        <f>+B42+1</f>
        <v>15</v>
      </c>
      <c r="C44" s="317"/>
      <c r="D44" s="326" t="s">
        <v>434</v>
      </c>
      <c r="E44" s="327" t="str">
        <f>"Line "&amp;B146&amp;" Below"</f>
        <v>Line 75 Below</v>
      </c>
      <c r="F44" s="317"/>
      <c r="H44" s="317"/>
      <c r="I44" s="354"/>
      <c r="J44" s="354"/>
      <c r="K44" s="354"/>
      <c r="L44" s="362">
        <f>+G146</f>
        <v>1394646.1690000002</v>
      </c>
      <c r="M44" s="327"/>
      <c r="N44" s="307"/>
    </row>
    <row r="45" spans="2:14">
      <c r="B45" s="316">
        <f>+B44+1</f>
        <v>16</v>
      </c>
      <c r="C45" s="317"/>
      <c r="D45" s="326" t="s">
        <v>471</v>
      </c>
      <c r="E45" s="311"/>
      <c r="F45" s="317"/>
      <c r="H45" s="317"/>
      <c r="I45" s="354"/>
      <c r="J45" s="354"/>
      <c r="K45" s="354"/>
      <c r="L45" s="825">
        <f>'WS F Misc Exp'!D28</f>
        <v>1055950.6090000002</v>
      </c>
      <c r="M45" s="327"/>
      <c r="N45" s="307"/>
    </row>
    <row r="46" spans="2:14">
      <c r="B46" s="316">
        <f>+B45+1</f>
        <v>17</v>
      </c>
      <c r="C46" s="317"/>
      <c r="D46" s="326" t="s">
        <v>472</v>
      </c>
      <c r="E46" s="311"/>
      <c r="F46" s="317"/>
      <c r="H46" s="317"/>
      <c r="I46" s="354"/>
      <c r="J46" s="354"/>
      <c r="K46" s="354"/>
      <c r="L46" s="825">
        <f>'WS F Misc Exp'!D32</f>
        <v>300350.88</v>
      </c>
      <c r="M46" s="327"/>
      <c r="N46" s="307"/>
    </row>
    <row r="47" spans="2:14">
      <c r="B47" s="316"/>
      <c r="C47" s="317"/>
      <c r="E47" s="311"/>
      <c r="F47" s="317"/>
      <c r="H47" s="317"/>
      <c r="I47" s="354"/>
      <c r="J47" s="354"/>
      <c r="K47" s="354"/>
      <c r="L47" s="317"/>
      <c r="M47" s="327"/>
      <c r="N47" s="307"/>
    </row>
    <row r="48" spans="2:14" ht="15.75" thickBot="1">
      <c r="B48" s="316">
        <f>+B46+1</f>
        <v>18</v>
      </c>
      <c r="C48" s="317"/>
      <c r="D48" s="326" t="s">
        <v>433</v>
      </c>
      <c r="E48" s="329" t="str">
        <f>"(Line "&amp;B44&amp;" - Line "&amp;B45&amp;" - Line "&amp;B46&amp;")"</f>
        <v>(Line 15 - Line 16 - Line 17)</v>
      </c>
      <c r="F48" s="317"/>
      <c r="H48" s="317"/>
      <c r="I48" s="354"/>
      <c r="J48" s="354"/>
      <c r="K48" s="354"/>
      <c r="L48" s="363">
        <f>+L44-L45-L46</f>
        <v>38344.680000000051</v>
      </c>
      <c r="M48" s="327"/>
      <c r="N48" s="307"/>
    </row>
    <row r="49" spans="2:16" ht="15.75" thickTop="1">
      <c r="B49" s="316"/>
      <c r="C49" s="317"/>
      <c r="E49" s="327"/>
      <c r="F49" s="317"/>
      <c r="G49" s="317"/>
      <c r="H49" s="317"/>
      <c r="I49" s="354"/>
      <c r="J49" s="354"/>
      <c r="K49" s="354"/>
      <c r="L49" s="355"/>
      <c r="M49" s="327"/>
      <c r="N49" s="307"/>
    </row>
    <row r="50" spans="2:16">
      <c r="B50" s="316"/>
      <c r="C50" s="317"/>
      <c r="E50" s="327"/>
      <c r="F50" s="317"/>
      <c r="G50" s="317"/>
      <c r="H50" s="317"/>
      <c r="I50" s="354"/>
      <c r="J50" s="354"/>
      <c r="K50" s="354"/>
      <c r="L50" s="355"/>
      <c r="M50" s="327"/>
      <c r="N50" s="307"/>
    </row>
    <row r="51" spans="2:16">
      <c r="B51" s="316"/>
      <c r="C51" s="317"/>
      <c r="E51" s="327"/>
      <c r="F51" s="317"/>
      <c r="G51" s="317"/>
      <c r="H51" s="317"/>
      <c r="I51" s="354"/>
      <c r="J51" s="354"/>
      <c r="K51" s="354"/>
      <c r="L51" s="355"/>
      <c r="M51" s="327"/>
      <c r="N51" s="307"/>
    </row>
    <row r="52" spans="2:16">
      <c r="D52" s="308"/>
      <c r="E52" s="308"/>
      <c r="G52" s="329"/>
      <c r="H52" s="308"/>
      <c r="I52" s="308"/>
      <c r="J52" s="308"/>
      <c r="K52" s="308"/>
      <c r="L52" s="308"/>
      <c r="M52" s="364"/>
      <c r="N52" s="307"/>
    </row>
    <row r="53" spans="2:16">
      <c r="D53" s="308"/>
      <c r="E53" s="308"/>
      <c r="F53" s="317"/>
      <c r="G53" s="329"/>
      <c r="H53" s="308"/>
      <c r="I53" s="308"/>
      <c r="J53" s="308"/>
      <c r="K53" s="308"/>
      <c r="L53" s="308"/>
      <c r="M53" s="364"/>
      <c r="N53" s="307"/>
      <c r="P53" s="365"/>
    </row>
    <row r="54" spans="2:16">
      <c r="D54" s="308"/>
      <c r="E54" s="308"/>
      <c r="F54" s="317" t="str">
        <f>F5</f>
        <v xml:space="preserve">AEP East Companies </v>
      </c>
      <c r="G54" s="329"/>
      <c r="H54" s="308"/>
      <c r="I54" s="308"/>
      <c r="J54" s="308"/>
      <c r="K54" s="308"/>
      <c r="L54" s="308"/>
      <c r="M54" s="364"/>
      <c r="N54" s="307"/>
      <c r="P54" s="365"/>
    </row>
    <row r="55" spans="2:16">
      <c r="D55" s="308"/>
      <c r="E55" s="314"/>
      <c r="F55" s="317" t="str">
        <f>F6</f>
        <v>Transmission Cost of Service Formula Rate</v>
      </c>
      <c r="G55" s="314"/>
      <c r="H55" s="314"/>
      <c r="I55" s="314"/>
      <c r="J55" s="314"/>
      <c r="K55" s="314"/>
      <c r="L55" s="314"/>
      <c r="M55" s="366"/>
      <c r="N55" s="307"/>
      <c r="P55" s="361"/>
    </row>
    <row r="56" spans="2:16">
      <c r="D56" s="308"/>
      <c r="E56" s="314"/>
      <c r="F56" s="345" t="str">
        <f>F7</f>
        <v>Utilizing  Actual/Projected FERC Form 1 Data</v>
      </c>
      <c r="G56" s="314"/>
      <c r="H56" s="314"/>
      <c r="I56" s="314"/>
      <c r="J56" s="314"/>
      <c r="K56" s="314"/>
      <c r="L56" s="314"/>
      <c r="M56" s="367"/>
      <c r="N56" s="307"/>
      <c r="P56" s="361"/>
    </row>
    <row r="57" spans="2:16">
      <c r="D57" s="308"/>
      <c r="E57" s="314"/>
      <c r="F57" s="317"/>
      <c r="G57" s="314"/>
      <c r="H57" s="314"/>
      <c r="I57" s="314"/>
      <c r="J57" s="314"/>
      <c r="K57" s="314"/>
      <c r="L57" s="314"/>
      <c r="M57" s="332"/>
      <c r="N57" s="307"/>
      <c r="P57" s="361"/>
    </row>
    <row r="58" spans="2:16">
      <c r="D58" s="308"/>
      <c r="E58" s="314"/>
      <c r="F58" s="317" t="str">
        <f>F9</f>
        <v>WHEELING POWER COMPANY</v>
      </c>
      <c r="G58" s="314"/>
      <c r="H58" s="314"/>
      <c r="I58" s="314"/>
      <c r="J58" s="314"/>
      <c r="K58" s="314"/>
      <c r="L58" s="314"/>
      <c r="M58" s="332"/>
      <c r="N58" s="307"/>
      <c r="P58" s="361"/>
    </row>
    <row r="59" spans="2:16">
      <c r="D59" s="308"/>
      <c r="E59" s="345"/>
      <c r="F59" s="345"/>
      <c r="G59" s="345"/>
      <c r="H59" s="345"/>
      <c r="I59" s="345"/>
      <c r="J59" s="345"/>
      <c r="K59" s="345"/>
      <c r="L59" s="314"/>
      <c r="M59" s="332"/>
      <c r="N59" s="307"/>
      <c r="P59" s="361"/>
    </row>
    <row r="60" spans="2:16">
      <c r="D60" s="317" t="s">
        <v>121</v>
      </c>
      <c r="E60" s="317" t="s">
        <v>122</v>
      </c>
      <c r="F60" s="317"/>
      <c r="G60" s="317" t="s">
        <v>123</v>
      </c>
      <c r="H60" s="314" t="s">
        <v>114</v>
      </c>
      <c r="I60" s="1548" t="s">
        <v>124</v>
      </c>
      <c r="J60" s="1549"/>
      <c r="K60" s="314"/>
      <c r="L60" s="318" t="s">
        <v>125</v>
      </c>
      <c r="M60" s="332"/>
      <c r="N60" s="307"/>
    </row>
    <row r="61" spans="2:16">
      <c r="B61" s="302"/>
      <c r="D61" s="357"/>
      <c r="E61" s="357"/>
      <c r="F61" s="357"/>
      <c r="G61" s="362"/>
      <c r="H61" s="314"/>
      <c r="I61" s="314"/>
      <c r="J61" s="369"/>
      <c r="K61" s="314"/>
      <c r="M61" s="332"/>
      <c r="N61" s="307"/>
    </row>
    <row r="62" spans="2:16" ht="15.75">
      <c r="B62" s="370"/>
      <c r="C62" s="317"/>
      <c r="D62" s="357"/>
      <c r="E62" s="371" t="s">
        <v>95</v>
      </c>
      <c r="F62" s="372"/>
      <c r="G62" s="314"/>
      <c r="H62" s="314"/>
      <c r="I62" s="314"/>
      <c r="J62" s="317"/>
      <c r="K62" s="314"/>
      <c r="L62" s="373" t="s">
        <v>118</v>
      </c>
      <c r="M62" s="332"/>
      <c r="N62" s="307"/>
      <c r="P62" s="365"/>
    </row>
    <row r="63" spans="2:16" ht="15.75">
      <c r="B63" s="302"/>
      <c r="C63" s="324"/>
      <c r="D63" s="374" t="s">
        <v>94</v>
      </c>
      <c r="E63" s="375" t="s">
        <v>112</v>
      </c>
      <c r="F63" s="314"/>
      <c r="G63" s="374" t="s">
        <v>81</v>
      </c>
      <c r="H63" s="376"/>
      <c r="I63" s="1550" t="s">
        <v>119</v>
      </c>
      <c r="J63" s="1551"/>
      <c r="K63" s="376"/>
      <c r="L63" s="374" t="s">
        <v>115</v>
      </c>
      <c r="M63" s="332"/>
      <c r="N63" s="307"/>
    </row>
    <row r="64" spans="2:16">
      <c r="B64" s="1095" t="str">
        <f>B11</f>
        <v>Line</v>
      </c>
      <c r="C64" s="342"/>
      <c r="D64" s="353"/>
      <c r="E64" s="332"/>
      <c r="F64" s="332"/>
      <c r="G64" s="1096" t="s">
        <v>354</v>
      </c>
      <c r="H64" s="332"/>
      <c r="I64" s="332"/>
      <c r="J64" s="332"/>
      <c r="K64" s="332"/>
      <c r="L64" s="332"/>
      <c r="M64" s="332"/>
      <c r="N64" s="307"/>
    </row>
    <row r="65" spans="2:15" ht="15.75" thickBot="1">
      <c r="B65" s="1097" t="str">
        <f>B12</f>
        <v>No.</v>
      </c>
      <c r="C65" s="342"/>
      <c r="D65" s="353" t="s">
        <v>82</v>
      </c>
      <c r="E65" s="377"/>
      <c r="F65" s="377"/>
      <c r="G65" s="332"/>
      <c r="H65" s="332"/>
      <c r="I65" s="336"/>
      <c r="J65" s="332"/>
      <c r="K65" s="332"/>
      <c r="L65" s="332"/>
      <c r="M65" s="332"/>
      <c r="N65" s="307"/>
    </row>
    <row r="66" spans="2:15">
      <c r="B66" s="341">
        <f>+B48+1</f>
        <v>19</v>
      </c>
      <c r="C66" s="342"/>
      <c r="D66" s="385" t="s">
        <v>126</v>
      </c>
      <c r="E66" s="332" t="str">
        <f>"(Worksheet A ln "&amp;'WS A - RB Support'!A23&amp;"."&amp;'WS A - RB Support'!C8&amp;")"</f>
        <v>(Worksheet A ln 14.(b))</v>
      </c>
      <c r="F66" s="332"/>
      <c r="G66" s="350">
        <f>'WS A - RB Support'!C23</f>
        <v>1048363060.5084612</v>
      </c>
      <c r="H66" s="350"/>
      <c r="I66" s="336" t="s">
        <v>127</v>
      </c>
      <c r="J66" s="337">
        <v>0</v>
      </c>
      <c r="K66" s="332"/>
      <c r="L66" s="379">
        <f>+J66*G66</f>
        <v>0</v>
      </c>
      <c r="M66" s="332"/>
      <c r="N66" s="307"/>
    </row>
    <row r="67" spans="2:15">
      <c r="B67" s="341">
        <f>+B66+1</f>
        <v>20</v>
      </c>
      <c r="C67" s="342"/>
      <c r="D67" s="385" t="s">
        <v>377</v>
      </c>
      <c r="E67" s="332" t="str">
        <f>"(Worksheet A ln "&amp;'WS A - RB Support'!A23&amp;"."&amp;'WS A - RB Support'!D8&amp;")"</f>
        <v>(Worksheet A ln 14.(c))</v>
      </c>
      <c r="F67" s="332"/>
      <c r="G67" s="379">
        <f>-'WS A - RB Support'!D23</f>
        <v>-6158868.9769230783</v>
      </c>
      <c r="H67" s="350"/>
      <c r="I67" s="336" t="s">
        <v>127</v>
      </c>
      <c r="J67" s="337">
        <v>0</v>
      </c>
      <c r="K67" s="332"/>
      <c r="L67" s="379">
        <f>+J67*G67</f>
        <v>0</v>
      </c>
      <c r="M67" s="332"/>
      <c r="N67" s="307"/>
    </row>
    <row r="68" spans="2:15">
      <c r="B68" s="341">
        <f t="shared" ref="B68:B74" si="0">+B67+1</f>
        <v>21</v>
      </c>
      <c r="C68" s="394"/>
      <c r="D68" s="1098" t="s">
        <v>128</v>
      </c>
      <c r="E68" s="332" t="str">
        <f>"(Worksheet A ln "&amp;'WS A - RB Support'!A23&amp;"."&amp;'WS A - RB Support'!E8&amp;" &amp; TCOS Ln "&amp;B229&amp;")"</f>
        <v>(Worksheet A ln 14.(d) &amp; TCOS Ln 134)</v>
      </c>
      <c r="F68" s="381"/>
      <c r="G68" s="350">
        <f>'WS A - RB Support'!E23</f>
        <v>166434937.17230767</v>
      </c>
      <c r="H68" s="350"/>
      <c r="I68" s="382" t="s">
        <v>129</v>
      </c>
      <c r="J68" s="337" t="s">
        <v>114</v>
      </c>
      <c r="K68" s="383"/>
      <c r="L68" s="379">
        <f>+L229</f>
        <v>154324444.27999997</v>
      </c>
      <c r="M68" s="383"/>
      <c r="N68" s="307"/>
    </row>
    <row r="69" spans="2:15">
      <c r="B69" s="341">
        <f t="shared" si="0"/>
        <v>22</v>
      </c>
      <c r="C69" s="394"/>
      <c r="D69" s="385" t="s">
        <v>378</v>
      </c>
      <c r="E69" s="332" t="str">
        <f>"(Worksheet A ln "&amp;'WS A - RB Support'!A23&amp;"."&amp;'WS A - RB Support'!F8&amp;")"</f>
        <v>(Worksheet A ln 14.(e))</v>
      </c>
      <c r="F69" s="381"/>
      <c r="G69" s="350">
        <f>-'WS A - RB Support'!F23</f>
        <v>0</v>
      </c>
      <c r="H69" s="350"/>
      <c r="I69" s="382" t="s">
        <v>120</v>
      </c>
      <c r="J69" s="337">
        <f>L231</f>
        <v>0.92723587308012212</v>
      </c>
      <c r="K69" s="383"/>
      <c r="L69" s="379">
        <f>+G69*J69</f>
        <v>0</v>
      </c>
      <c r="M69" s="383"/>
      <c r="N69" s="307"/>
    </row>
    <row r="70" spans="2:15">
      <c r="B70" s="341">
        <f>+B69+1</f>
        <v>23</v>
      </c>
      <c r="C70" s="394"/>
      <c r="D70" s="353" t="s">
        <v>130</v>
      </c>
      <c r="E70" s="332" t="str">
        <f>"(Worksheet A ln "&amp;'WS A - RB Support'!A23&amp;"."&amp;'WS A - RB Support'!G8&amp;")"</f>
        <v>(Worksheet A ln 14.(f))</v>
      </c>
      <c r="F70" s="332"/>
      <c r="G70" s="350">
        <f>'WS A - RB Support'!G23</f>
        <v>254617712.33153847</v>
      </c>
      <c r="H70" s="350"/>
      <c r="I70" s="336" t="s">
        <v>127</v>
      </c>
      <c r="J70" s="337">
        <v>0</v>
      </c>
      <c r="K70" s="332"/>
      <c r="L70" s="379">
        <f>+J70*G70</f>
        <v>0</v>
      </c>
      <c r="M70" s="332"/>
      <c r="N70" s="307"/>
    </row>
    <row r="71" spans="2:15">
      <c r="B71" s="341">
        <f t="shared" si="0"/>
        <v>24</v>
      </c>
      <c r="C71" s="394"/>
      <c r="D71" s="385" t="s">
        <v>375</v>
      </c>
      <c r="E71" s="332" t="str">
        <f>"(Worksheet A ln "&amp;'WS A - RB Support'!A23&amp;"."&amp;'WS A - RB Support'!H8&amp;")"</f>
        <v>(Worksheet A ln 14.(g))</v>
      </c>
      <c r="F71" s="332"/>
      <c r="G71" s="379">
        <f>-'WS A - RB Support'!H23</f>
        <v>0</v>
      </c>
      <c r="H71" s="350"/>
      <c r="I71" s="336" t="s">
        <v>127</v>
      </c>
      <c r="J71" s="337">
        <v>0</v>
      </c>
      <c r="K71" s="332"/>
      <c r="L71" s="379">
        <f>+G71*J71</f>
        <v>0</v>
      </c>
      <c r="M71" s="332"/>
      <c r="N71" s="307"/>
    </row>
    <row r="72" spans="2:15">
      <c r="B72" s="341">
        <f t="shared" si="0"/>
        <v>25</v>
      </c>
      <c r="C72" s="394"/>
      <c r="D72" s="353" t="s">
        <v>131</v>
      </c>
      <c r="E72" s="332" t="str">
        <f>"(Worksheet A ln "&amp;'WS A - RB Support'!A23&amp;"."&amp;'WS A - RB Support'!I8&amp;")"</f>
        <v>(Worksheet A ln 14.(h))</v>
      </c>
      <c r="F72" s="332"/>
      <c r="G72" s="350">
        <f>'WS A - RB Support'!I23</f>
        <v>11737774.983846154</v>
      </c>
      <c r="H72" s="350"/>
      <c r="I72" s="336" t="s">
        <v>132</v>
      </c>
      <c r="J72" s="337">
        <f>L241</f>
        <v>2.8842754279883847E-2</v>
      </c>
      <c r="K72" s="332"/>
      <c r="L72" s="379">
        <f>+J72*G72</f>
        <v>338549.75965164223</v>
      </c>
      <c r="M72" s="332"/>
      <c r="N72" s="307"/>
    </row>
    <row r="73" spans="2:15">
      <c r="B73" s="341">
        <f t="shared" si="0"/>
        <v>26</v>
      </c>
      <c r="C73" s="394"/>
      <c r="D73" s="385" t="s">
        <v>376</v>
      </c>
      <c r="E73" s="332" t="str">
        <f>"(Worksheet A ln "&amp;'WS A - RB Support'!A23&amp;"."&amp;'WS A - RB Support'!J8&amp;")"</f>
        <v>(Worksheet A ln 14.(i))</v>
      </c>
      <c r="F73" s="332"/>
      <c r="G73" s="379">
        <f>-'WS A - RB Support'!J23</f>
        <v>-151294.73000000001</v>
      </c>
      <c r="H73" s="350"/>
      <c r="I73" s="336" t="s">
        <v>132</v>
      </c>
      <c r="J73" s="337">
        <f>L241</f>
        <v>2.8842754279883847E-2</v>
      </c>
      <c r="K73" s="332"/>
      <c r="L73" s="379">
        <f>+G73*J73</f>
        <v>-4363.7567212313716</v>
      </c>
      <c r="M73" s="332"/>
      <c r="N73" s="307"/>
    </row>
    <row r="74" spans="2:15" ht="15.75" thickBot="1">
      <c r="B74" s="341">
        <f t="shared" si="0"/>
        <v>27</v>
      </c>
      <c r="C74" s="394"/>
      <c r="D74" s="353" t="s">
        <v>133</v>
      </c>
      <c r="E74" s="332" t="str">
        <f>"(Worksheet A ln "&amp;'WS A - RB Support'!A23&amp;"."&amp;'WS A - RB Support'!K8&amp;")"</f>
        <v>(Worksheet A ln 14.(j))</v>
      </c>
      <c r="F74" s="332"/>
      <c r="G74" s="386">
        <f>'WS A - RB Support'!K23</f>
        <v>7450009.3353846166</v>
      </c>
      <c r="H74" s="350"/>
      <c r="I74" s="336" t="s">
        <v>132</v>
      </c>
      <c r="J74" s="337">
        <f>L241</f>
        <v>2.8842754279883847E-2</v>
      </c>
      <c r="K74" s="332"/>
      <c r="L74" s="480">
        <f>+J74*G74</f>
        <v>214878.78864333927</v>
      </c>
      <c r="M74" s="332"/>
      <c r="N74" s="353"/>
      <c r="O74" s="308"/>
    </row>
    <row r="75" spans="2:15" ht="15.75">
      <c r="B75" s="341">
        <f>+B74+1</f>
        <v>28</v>
      </c>
      <c r="C75" s="394"/>
      <c r="D75" s="353" t="s">
        <v>47</v>
      </c>
      <c r="E75" s="342" t="str">
        <f>"(sum lns "&amp;B66&amp;" to "&amp;B74&amp;")"</f>
        <v>(sum lns 19 to 27)</v>
      </c>
      <c r="F75" s="680"/>
      <c r="G75" s="350">
        <f>SUM(G66:G74)</f>
        <v>1482293330.624615</v>
      </c>
      <c r="H75" s="350"/>
      <c r="I75" s="481" t="s">
        <v>751</v>
      </c>
      <c r="J75" s="388">
        <f>+L75/G75</f>
        <v>0.10448236247970734</v>
      </c>
      <c r="K75" s="332"/>
      <c r="L75" s="350">
        <f>SUM(L66:L74)</f>
        <v>154873509.0715737</v>
      </c>
      <c r="M75" s="332"/>
      <c r="N75" s="353"/>
      <c r="O75" s="308"/>
    </row>
    <row r="76" spans="2:15" ht="15.75">
      <c r="B76" s="341"/>
      <c r="C76" s="342"/>
      <c r="D76" s="353"/>
      <c r="E76" s="1100"/>
      <c r="F76" s="680"/>
      <c r="G76" s="350"/>
      <c r="H76" s="350"/>
      <c r="I76" s="1093" t="s">
        <v>216</v>
      </c>
      <c r="J76" s="389">
        <f>+L68/(G70+G68+G71)</f>
        <v>0.36652053956162145</v>
      </c>
      <c r="K76" s="332"/>
      <c r="L76" s="350"/>
      <c r="M76" s="332"/>
      <c r="N76" s="390"/>
      <c r="O76" s="308"/>
    </row>
    <row r="77" spans="2:15">
      <c r="B77" s="341">
        <f>+B75+1</f>
        <v>29</v>
      </c>
      <c r="C77" s="342"/>
      <c r="D77" s="353" t="s">
        <v>24</v>
      </c>
      <c r="E77" s="377"/>
      <c r="F77" s="377"/>
      <c r="G77" s="350"/>
      <c r="H77" s="391"/>
      <c r="I77" s="336"/>
      <c r="J77" s="392"/>
      <c r="K77" s="332"/>
      <c r="L77" s="350"/>
      <c r="M77" s="332"/>
      <c r="N77" s="332"/>
      <c r="O77" s="314"/>
    </row>
    <row r="78" spans="2:15">
      <c r="B78" s="341">
        <f>+B77+1</f>
        <v>30</v>
      </c>
      <c r="C78" s="342"/>
      <c r="D78" s="385" t="str">
        <f>+D66</f>
        <v xml:space="preserve">  Production</v>
      </c>
      <c r="E78" s="332" t="str">
        <f>"(Worksheet A ln "&amp;'WS A - RB Support'!A42&amp;"."&amp;'WS A - RB Support'!C27&amp;")"</f>
        <v>(Worksheet A ln 28.(b))</v>
      </c>
      <c r="F78" s="332"/>
      <c r="G78" s="350">
        <f>'WS A - RB Support'!C42</f>
        <v>494285843.86461538</v>
      </c>
      <c r="H78" s="350"/>
      <c r="I78" s="336" t="s">
        <v>127</v>
      </c>
      <c r="J78" s="337">
        <v>0</v>
      </c>
      <c r="K78" s="332"/>
      <c r="L78" s="379">
        <f>+J78*G78</f>
        <v>0</v>
      </c>
      <c r="M78" s="332"/>
      <c r="N78" s="332"/>
      <c r="O78" s="314"/>
    </row>
    <row r="79" spans="2:15">
      <c r="B79" s="341">
        <f t="shared" ref="B79:B87" si="1">+B78+1</f>
        <v>31</v>
      </c>
      <c r="C79" s="342"/>
      <c r="D79" s="385" t="s">
        <v>377</v>
      </c>
      <c r="E79" s="332" t="str">
        <f>"(Worksheet A ln "&amp;'WS A - RB Support'!A42&amp;"."&amp;'WS A - RB Support'!D27&amp;")"</f>
        <v>(Worksheet A ln 28.(c))</v>
      </c>
      <c r="F79" s="332"/>
      <c r="G79" s="379">
        <f>-'WS A - RB Support'!D42</f>
        <v>-3306969.193846154</v>
      </c>
      <c r="H79" s="350"/>
      <c r="I79" s="336" t="s">
        <v>127</v>
      </c>
      <c r="J79" s="337">
        <v>0</v>
      </c>
      <c r="K79" s="332"/>
      <c r="L79" s="379">
        <f>+J79*G79</f>
        <v>0</v>
      </c>
      <c r="M79" s="332"/>
      <c r="N79" s="332"/>
      <c r="O79" s="314"/>
    </row>
    <row r="80" spans="2:15" ht="15.75">
      <c r="B80" s="341">
        <f t="shared" si="1"/>
        <v>32</v>
      </c>
      <c r="C80" s="394"/>
      <c r="D80" s="1098" t="str">
        <f>D68</f>
        <v xml:space="preserve">  Transmission</v>
      </c>
      <c r="E80" s="332" t="str">
        <f>"(Worksheet A ln "&amp;'WS A - RB Support'!A42&amp;"."&amp;'WS A - RB Support'!E27&amp;" &amp; "&amp;"ln "&amp;'WS A - RB Support'!A64&amp;"."&amp;'WS A - RB Support'!D47&amp;")"</f>
        <v>(Worksheet A ln 28.(d) &amp; ln 43.(c))</v>
      </c>
      <c r="F80" s="381"/>
      <c r="G80" s="384">
        <f>'WS A - RB Support'!E42</f>
        <v>35907252.053076923</v>
      </c>
      <c r="H80" s="350"/>
      <c r="I80" s="1094" t="s">
        <v>27</v>
      </c>
      <c r="J80" s="393">
        <f>L80/G80</f>
        <v>0.82400831971948663</v>
      </c>
      <c r="K80" s="383"/>
      <c r="L80" s="379">
        <f>'WS A - RB Support'!D64</f>
        <v>29587874.43</v>
      </c>
      <c r="M80" s="383"/>
      <c r="N80" s="332"/>
      <c r="O80" s="314"/>
    </row>
    <row r="81" spans="2:15" ht="15.75">
      <c r="B81" s="341">
        <f t="shared" si="1"/>
        <v>33</v>
      </c>
      <c r="C81" s="394"/>
      <c r="D81" s="385" t="s">
        <v>378</v>
      </c>
      <c r="E81" s="332" t="str">
        <f>"(Worksheet A ln "&amp;'WS A - RB Support'!A42&amp;"."&amp;'WS A - RB Support'!F27&amp;")"</f>
        <v>(Worksheet A ln 28.(e))</v>
      </c>
      <c r="F81" s="381"/>
      <c r="G81" s="379">
        <f>-'WS A - RB Support'!F42</f>
        <v>0</v>
      </c>
      <c r="H81" s="350"/>
      <c r="I81" s="1094" t="s">
        <v>27</v>
      </c>
      <c r="J81" s="337">
        <f>+J80</f>
        <v>0.82400831971948663</v>
      </c>
      <c r="K81" s="383"/>
      <c r="L81" s="379">
        <f t="shared" ref="L81:L86" si="2">+J81*G81</f>
        <v>0</v>
      </c>
      <c r="M81" s="383"/>
      <c r="N81" s="332"/>
      <c r="O81" s="314"/>
    </row>
    <row r="82" spans="2:15">
      <c r="B82" s="341">
        <f>+B81+1</f>
        <v>34</v>
      </c>
      <c r="C82" s="394"/>
      <c r="D82" s="353" t="str">
        <f>+D70</f>
        <v xml:space="preserve">  Distribution</v>
      </c>
      <c r="E82" s="332" t="str">
        <f>"(Worksheet A ln "&amp;'WS A - RB Support'!A42&amp;"."&amp;'WS A - RB Support'!G27&amp;")"</f>
        <v>(Worksheet A ln 28.(f))</v>
      </c>
      <c r="F82" s="332"/>
      <c r="G82" s="350">
        <f>'WS A - RB Support'!G42</f>
        <v>74563008.201538458</v>
      </c>
      <c r="H82" s="350"/>
      <c r="I82" s="336" t="s">
        <v>127</v>
      </c>
      <c r="J82" s="337">
        <v>0</v>
      </c>
      <c r="K82" s="332"/>
      <c r="L82" s="379">
        <f t="shared" si="2"/>
        <v>0</v>
      </c>
      <c r="M82" s="332"/>
      <c r="N82" s="332"/>
      <c r="O82" s="314"/>
    </row>
    <row r="83" spans="2:15">
      <c r="B83" s="341">
        <f t="shared" si="1"/>
        <v>35</v>
      </c>
      <c r="C83" s="394"/>
      <c r="D83" s="385" t="s">
        <v>375</v>
      </c>
      <c r="E83" s="332" t="str">
        <f>"(Worksheet A ln "&amp;'WS A - RB Support'!A42&amp;"."&amp;'WS A - RB Support'!H27&amp;")"</f>
        <v>(Worksheet A ln 28.(g))</v>
      </c>
      <c r="F83" s="332"/>
      <c r="G83" s="379">
        <f>-'WS A - RB Support'!H42</f>
        <v>0</v>
      </c>
      <c r="H83" s="350"/>
      <c r="I83" s="336" t="s">
        <v>127</v>
      </c>
      <c r="J83" s="337">
        <v>0</v>
      </c>
      <c r="K83" s="332"/>
      <c r="L83" s="379">
        <f t="shared" si="2"/>
        <v>0</v>
      </c>
      <c r="M83" s="332"/>
      <c r="N83" s="332"/>
      <c r="O83" s="314"/>
    </row>
    <row r="84" spans="2:15">
      <c r="B84" s="341">
        <f t="shared" si="1"/>
        <v>36</v>
      </c>
      <c r="C84" s="394"/>
      <c r="D84" s="353" t="str">
        <f>+D72</f>
        <v xml:space="preserve">  General Plant   </v>
      </c>
      <c r="E84" s="332" t="str">
        <f>"(Worksheet A ln "&amp;'WS A - RB Support'!A42&amp;"."&amp;'WS A - RB Support'!I27&amp;")"</f>
        <v>(Worksheet A ln 28.(h))</v>
      </c>
      <c r="F84" s="332"/>
      <c r="G84" s="335">
        <f>'WS A - RB Support'!I42</f>
        <v>3810189.0338461543</v>
      </c>
      <c r="H84" s="350"/>
      <c r="I84" s="336" t="s">
        <v>132</v>
      </c>
      <c r="J84" s="337">
        <f>L241</f>
        <v>2.8842754279883847E-2</v>
      </c>
      <c r="K84" s="332"/>
      <c r="L84" s="379">
        <f t="shared" si="2"/>
        <v>109896.34606313267</v>
      </c>
      <c r="M84" s="332"/>
      <c r="N84" s="332"/>
      <c r="O84" s="314"/>
    </row>
    <row r="85" spans="2:15">
      <c r="B85" s="341">
        <f t="shared" si="1"/>
        <v>37</v>
      </c>
      <c r="C85" s="394"/>
      <c r="D85" s="385" t="s">
        <v>376</v>
      </c>
      <c r="E85" s="332" t="str">
        <f>"(Worksheet A ln "&amp;'WS A - RB Support'!A42&amp;"."&amp;'WS A - RB Support'!J27&amp;")"</f>
        <v>(Worksheet A ln 28.(i))</v>
      </c>
      <c r="F85" s="332"/>
      <c r="G85" s="379">
        <f>-'WS A - RB Support'!J42</f>
        <v>-73095.12</v>
      </c>
      <c r="H85" s="350"/>
      <c r="I85" s="336" t="s">
        <v>132</v>
      </c>
      <c r="J85" s="337">
        <f>L241</f>
        <v>2.8842754279883847E-2</v>
      </c>
      <c r="K85" s="332"/>
      <c r="L85" s="379">
        <f t="shared" si="2"/>
        <v>-2108.2645852186233</v>
      </c>
      <c r="M85" s="332"/>
      <c r="N85" s="332"/>
      <c r="O85" s="314"/>
    </row>
    <row r="86" spans="2:15" ht="15.75" thickBot="1">
      <c r="B86" s="341">
        <f t="shared" si="1"/>
        <v>38</v>
      </c>
      <c r="C86" s="394"/>
      <c r="D86" s="353" t="str">
        <f>+D74</f>
        <v xml:space="preserve">  Intangible Plant</v>
      </c>
      <c r="E86" s="332" t="str">
        <f>"(Worksheet A ln "&amp;'WS A - RB Support'!A42&amp;"."&amp;'WS A - RB Support'!K27&amp;")"</f>
        <v>(Worksheet A ln 28.(j))</v>
      </c>
      <c r="F86" s="332"/>
      <c r="G86" s="386">
        <f>'WS A - RB Support'!K42</f>
        <v>3163514.1823076922</v>
      </c>
      <c r="H86" s="350"/>
      <c r="I86" s="336" t="s">
        <v>132</v>
      </c>
      <c r="J86" s="337">
        <f>L241</f>
        <v>2.8842754279883847E-2</v>
      </c>
      <c r="K86" s="332"/>
      <c r="L86" s="480">
        <f t="shared" si="2"/>
        <v>91244.462221228445</v>
      </c>
      <c r="M86" s="332"/>
      <c r="N86" s="332"/>
      <c r="O86" s="314"/>
    </row>
    <row r="87" spans="2:15">
      <c r="B87" s="341">
        <f t="shared" si="1"/>
        <v>39</v>
      </c>
      <c r="C87" s="394"/>
      <c r="D87" s="353" t="s">
        <v>46</v>
      </c>
      <c r="E87" s="1078" t="str">
        <f>"(sum lns "&amp;B78&amp;" to "&amp;B86&amp;")"</f>
        <v>(sum lns 30 to 38)</v>
      </c>
      <c r="F87" s="678"/>
      <c r="G87" s="350">
        <f>SUM(G78:G86)</f>
        <v>608349743.0215385</v>
      </c>
      <c r="H87" s="350"/>
      <c r="I87" s="336"/>
      <c r="J87" s="332"/>
      <c r="K87" s="350"/>
      <c r="L87" s="350">
        <f>SUM(L78:L86)</f>
        <v>29786906.973699141</v>
      </c>
      <c r="M87" s="332"/>
      <c r="N87" s="332"/>
      <c r="O87" s="314"/>
    </row>
    <row r="88" spans="2:15">
      <c r="B88" s="341"/>
      <c r="C88" s="342"/>
      <c r="D88" s="307"/>
      <c r="E88" s="1101"/>
      <c r="F88" s="678"/>
      <c r="G88" s="350"/>
      <c r="H88" s="350"/>
      <c r="I88" s="336"/>
      <c r="J88" s="395"/>
      <c r="K88" s="332"/>
      <c r="L88" s="350"/>
      <c r="M88" s="332"/>
      <c r="N88" s="332"/>
      <c r="O88" s="314"/>
    </row>
    <row r="89" spans="2:15">
      <c r="B89" s="341">
        <f>+B87+1</f>
        <v>40</v>
      </c>
      <c r="C89" s="342"/>
      <c r="D89" s="353" t="s">
        <v>83</v>
      </c>
      <c r="E89" s="377"/>
      <c r="F89" s="377"/>
      <c r="G89" s="350"/>
      <c r="H89" s="350"/>
      <c r="I89" s="336"/>
      <c r="J89" s="332"/>
      <c r="K89" s="332"/>
      <c r="L89" s="350"/>
      <c r="M89" s="332"/>
      <c r="N89" s="332"/>
      <c r="O89" s="314"/>
    </row>
    <row r="90" spans="2:15">
      <c r="B90" s="341">
        <f t="shared" ref="B90:B95" si="3">+B89+1</f>
        <v>41</v>
      </c>
      <c r="C90" s="394"/>
      <c r="D90" s="385" t="str">
        <f>+D78</f>
        <v xml:space="preserve">  Production</v>
      </c>
      <c r="E90" s="332" t="str">
        <f>" (ln "&amp;B66&amp;" + ln "&amp;B67&amp;" - ln "&amp;B78&amp;" - ln "&amp;B79&amp;")"</f>
        <v xml:space="preserve"> (ln 19 + ln 20 - ln 30 - ln 31)</v>
      </c>
      <c r="F90" s="332"/>
      <c r="G90" s="350">
        <f>G66+G67-G78-G79</f>
        <v>551225316.86076891</v>
      </c>
      <c r="H90" s="350"/>
      <c r="I90" s="336"/>
      <c r="J90" s="396"/>
      <c r="K90" s="332"/>
      <c r="L90" s="350">
        <f>L66+L67-L78-L79</f>
        <v>0</v>
      </c>
      <c r="M90" s="332"/>
      <c r="N90" s="332"/>
      <c r="O90" s="314"/>
    </row>
    <row r="91" spans="2:15">
      <c r="B91" s="341">
        <f t="shared" si="3"/>
        <v>42</v>
      </c>
      <c r="C91" s="394"/>
      <c r="D91" s="385" t="str">
        <f>+D80</f>
        <v xml:space="preserve">  Transmission</v>
      </c>
      <c r="E91" s="332" t="str">
        <f>" (ln "&amp;B68&amp;" + ln "&amp;B69&amp;" - ln "&amp;B80&amp;" - ln "&amp;B81&amp;")"</f>
        <v xml:space="preserve"> (ln 21 + ln 22 - ln 32 - ln 33)</v>
      </c>
      <c r="F91" s="332"/>
      <c r="G91" s="350">
        <f>+G68+G69-G80-G81</f>
        <v>130527685.11923075</v>
      </c>
      <c r="H91" s="350"/>
      <c r="I91" s="336"/>
      <c r="J91" s="393"/>
      <c r="K91" s="332"/>
      <c r="L91" s="350">
        <f>+L68+L69-L80-L81</f>
        <v>124736569.84999996</v>
      </c>
      <c r="M91" s="332"/>
      <c r="N91" s="332"/>
      <c r="O91" s="314"/>
    </row>
    <row r="92" spans="2:15">
      <c r="B92" s="341">
        <f>+B91+1</f>
        <v>43</v>
      </c>
      <c r="C92" s="394"/>
      <c r="D92" s="385" t="str">
        <f>+D82</f>
        <v xml:space="preserve">  Distribution</v>
      </c>
      <c r="E92" s="332" t="str">
        <f>" (ln "&amp;B70&amp;" + ln "&amp;B71&amp;" - ln "&amp;B82&amp;" - ln "&amp;B83&amp;")"</f>
        <v xml:space="preserve"> (ln 23 + ln 24 - ln 34 - ln 35)</v>
      </c>
      <c r="F92" s="332"/>
      <c r="G92" s="350">
        <f>+G70+G71-G82-G83</f>
        <v>180054704.13</v>
      </c>
      <c r="H92" s="350"/>
      <c r="I92" s="336"/>
      <c r="J92" s="395"/>
      <c r="K92" s="332"/>
      <c r="L92" s="350">
        <f>+L70+L71-L82-L83</f>
        <v>0</v>
      </c>
      <c r="M92" s="332"/>
      <c r="N92" s="307"/>
      <c r="O92" s="314"/>
    </row>
    <row r="93" spans="2:15">
      <c r="B93" s="341">
        <f t="shared" si="3"/>
        <v>44</v>
      </c>
      <c r="C93" s="394"/>
      <c r="D93" s="385" t="str">
        <f>+D84</f>
        <v xml:space="preserve">  General Plant   </v>
      </c>
      <c r="E93" s="332" t="str">
        <f>" (ln "&amp;B72&amp;" + ln "&amp;B73&amp;" - ln "&amp;B84&amp;" - ln "&amp;B85&amp;")"</f>
        <v xml:space="preserve"> (ln 25 + ln 26 - ln 36 - ln 37)</v>
      </c>
      <c r="F93" s="332"/>
      <c r="G93" s="350">
        <f>+G72+G73-G84-G85</f>
        <v>7849386.3399999989</v>
      </c>
      <c r="H93" s="350"/>
      <c r="I93" s="336"/>
      <c r="J93" s="395"/>
      <c r="K93" s="332"/>
      <c r="L93" s="350">
        <f>+L72+L73-L84-L85</f>
        <v>226397.92145249678</v>
      </c>
      <c r="M93" s="332"/>
      <c r="N93" s="332"/>
      <c r="O93" s="314"/>
    </row>
    <row r="94" spans="2:15" ht="15.75" thickBot="1">
      <c r="B94" s="341">
        <f t="shared" si="3"/>
        <v>45</v>
      </c>
      <c r="C94" s="394"/>
      <c r="D94" s="385" t="str">
        <f>+D86</f>
        <v xml:space="preserve">  Intangible Plant</v>
      </c>
      <c r="E94" s="332" t="str">
        <f>" (ln "&amp;B74&amp;" - ln "&amp;B86&amp;")"</f>
        <v xml:space="preserve"> (ln 27 - ln 38)</v>
      </c>
      <c r="F94" s="332"/>
      <c r="G94" s="386">
        <f>+G74-G86</f>
        <v>4286495.1530769244</v>
      </c>
      <c r="H94" s="350"/>
      <c r="I94" s="336"/>
      <c r="J94" s="395"/>
      <c r="K94" s="332"/>
      <c r="L94" s="386">
        <f>+L74-L86</f>
        <v>123634.32642211083</v>
      </c>
      <c r="M94" s="332"/>
      <c r="N94" s="332"/>
      <c r="O94" s="314"/>
    </row>
    <row r="95" spans="2:15" ht="15.75">
      <c r="B95" s="341">
        <f t="shared" si="3"/>
        <v>46</v>
      </c>
      <c r="C95" s="394"/>
      <c r="D95" s="385" t="s">
        <v>45</v>
      </c>
      <c r="E95" s="385" t="str">
        <f>"(sum lns "&amp;B90&amp;" to "&amp;B94&amp;")"</f>
        <v>(sum lns 41 to 45)</v>
      </c>
      <c r="F95" s="332"/>
      <c r="G95" s="350">
        <f>SUM(G90:G94)</f>
        <v>873943587.60307658</v>
      </c>
      <c r="H95" s="350"/>
      <c r="I95" s="481" t="s">
        <v>752</v>
      </c>
      <c r="J95" s="388">
        <f>+L95/G95</f>
        <v>0.14312892030130187</v>
      </c>
      <c r="K95" s="332"/>
      <c r="L95" s="350">
        <f>SUM(L90:L94)</f>
        <v>125086602.09787457</v>
      </c>
      <c r="M95" s="332"/>
      <c r="N95" s="332"/>
      <c r="O95" s="314"/>
    </row>
    <row r="96" spans="2:15">
      <c r="B96" s="341"/>
      <c r="C96" s="342"/>
      <c r="D96" s="353"/>
      <c r="E96" s="332"/>
      <c r="F96" s="332"/>
      <c r="G96" s="350"/>
      <c r="H96" s="350"/>
      <c r="I96" s="412"/>
      <c r="J96" s="400"/>
      <c r="K96" s="332"/>
      <c r="L96" s="350"/>
      <c r="M96" s="332"/>
      <c r="N96" s="332"/>
      <c r="O96" s="314"/>
    </row>
    <row r="97" spans="2:15">
      <c r="B97" s="341"/>
      <c r="C97" s="342"/>
      <c r="D97" s="307"/>
      <c r="E97" s="307"/>
      <c r="F97" s="307"/>
      <c r="G97" s="566"/>
      <c r="H97" s="566"/>
      <c r="I97" s="1100"/>
      <c r="J97" s="566"/>
      <c r="K97" s="566"/>
      <c r="L97" s="566"/>
      <c r="M97" s="401"/>
      <c r="N97" s="332"/>
      <c r="O97" s="314"/>
    </row>
    <row r="98" spans="2:15">
      <c r="B98" s="341">
        <f>+B95+1</f>
        <v>47</v>
      </c>
      <c r="C98" s="342"/>
      <c r="D98" s="353" t="s">
        <v>326</v>
      </c>
      <c r="E98" s="332" t="s">
        <v>303</v>
      </c>
      <c r="F98" s="336"/>
      <c r="G98" s="566"/>
      <c r="H98" s="566"/>
      <c r="I98" s="1100"/>
      <c r="J98" s="566"/>
      <c r="K98" s="566"/>
      <c r="L98" s="566"/>
      <c r="M98" s="401"/>
      <c r="N98" s="332"/>
      <c r="O98" s="314"/>
    </row>
    <row r="99" spans="2:15">
      <c r="B99" s="341">
        <f t="shared" ref="B99:B104" si="4">+B98+1</f>
        <v>48</v>
      </c>
      <c r="C99" s="394"/>
      <c r="D99" s="385" t="s">
        <v>193</v>
      </c>
      <c r="E99" s="332" t="s">
        <v>535</v>
      </c>
      <c r="F99" s="332"/>
      <c r="G99" s="350">
        <f>-'WS B ADIT &amp; ITC'!I17</f>
        <v>-45074579.515000001</v>
      </c>
      <c r="H99" s="350"/>
      <c r="I99" s="336" t="s">
        <v>127</v>
      </c>
      <c r="J99" s="337"/>
      <c r="K99" s="332"/>
      <c r="L99" s="350">
        <f>'WS B ADIT &amp; ITC'!I20</f>
        <v>0</v>
      </c>
      <c r="M99" s="332"/>
      <c r="N99" s="332"/>
      <c r="O99" s="314"/>
    </row>
    <row r="100" spans="2:15">
      <c r="B100" s="341">
        <f t="shared" si="4"/>
        <v>49</v>
      </c>
      <c r="C100" s="394"/>
      <c r="D100" s="385" t="s">
        <v>194</v>
      </c>
      <c r="E100" s="332" t="s">
        <v>536</v>
      </c>
      <c r="F100" s="332"/>
      <c r="G100" s="350">
        <f>-'WS B ADIT &amp; ITC'!I25</f>
        <v>-135994633.20499998</v>
      </c>
      <c r="H100" s="350"/>
      <c r="I100" s="336" t="s">
        <v>129</v>
      </c>
      <c r="J100" s="337"/>
      <c r="K100" s="332"/>
      <c r="L100" s="350">
        <f>-'WS B ADIT &amp; ITC'!I28</f>
        <v>-28218857.039999992</v>
      </c>
      <c r="M100" s="332"/>
      <c r="N100" s="332"/>
      <c r="O100" s="314"/>
    </row>
    <row r="101" spans="2:15">
      <c r="B101" s="341">
        <f t="shared" si="4"/>
        <v>50</v>
      </c>
      <c r="C101" s="394"/>
      <c r="D101" s="385" t="s">
        <v>195</v>
      </c>
      <c r="E101" s="332" t="s">
        <v>537</v>
      </c>
      <c r="F101" s="332"/>
      <c r="G101" s="350">
        <f>-'WS B ADIT &amp; ITC'!I33</f>
        <v>-55279674.284000002</v>
      </c>
      <c r="H101" s="350"/>
      <c r="I101" s="336" t="s">
        <v>129</v>
      </c>
      <c r="J101" s="337"/>
      <c r="K101" s="332"/>
      <c r="L101" s="350">
        <f>-'WS B ADIT &amp; ITC'!I36</f>
        <v>20667.600999996066</v>
      </c>
      <c r="M101" s="332"/>
      <c r="N101" s="332"/>
      <c r="O101" s="314"/>
    </row>
    <row r="102" spans="2:15">
      <c r="B102" s="341">
        <f t="shared" si="4"/>
        <v>51</v>
      </c>
      <c r="C102" s="394"/>
      <c r="D102" s="385" t="s">
        <v>196</v>
      </c>
      <c r="E102" s="332" t="s">
        <v>538</v>
      </c>
      <c r="F102" s="332"/>
      <c r="G102" s="350">
        <f>'WS B ADIT &amp; ITC'!I41</f>
        <v>9487783.8550000004</v>
      </c>
      <c r="H102" s="350"/>
      <c r="I102" s="336" t="s">
        <v>129</v>
      </c>
      <c r="J102" s="337"/>
      <c r="K102" s="332"/>
      <c r="L102" s="350">
        <f>'WS B ADIT &amp; ITC'!I44</f>
        <v>2981281.5350460447</v>
      </c>
      <c r="M102" s="332"/>
      <c r="N102" s="332"/>
      <c r="O102" s="314"/>
    </row>
    <row r="103" spans="2:15" ht="15.75" thickBot="1">
      <c r="B103" s="341">
        <f t="shared" si="4"/>
        <v>52</v>
      </c>
      <c r="C103" s="394"/>
      <c r="D103" s="466" t="s">
        <v>134</v>
      </c>
      <c r="E103" s="332" t="s">
        <v>539</v>
      </c>
      <c r="F103" s="307"/>
      <c r="G103" s="386">
        <f>-'WS B ADIT &amp; ITC'!I51</f>
        <v>0</v>
      </c>
      <c r="H103" s="350"/>
      <c r="I103" s="336" t="s">
        <v>129</v>
      </c>
      <c r="J103" s="337"/>
      <c r="K103" s="332"/>
      <c r="L103" s="386">
        <f>-'WS B ADIT &amp; ITC'!I52</f>
        <v>0</v>
      </c>
      <c r="M103" s="402"/>
      <c r="N103" s="332"/>
      <c r="O103" s="314"/>
    </row>
    <row r="104" spans="2:15">
      <c r="B104" s="341">
        <f t="shared" si="4"/>
        <v>53</v>
      </c>
      <c r="C104" s="394"/>
      <c r="D104" s="385" t="s">
        <v>92</v>
      </c>
      <c r="E104" s="385" t="str">
        <f>"(sum lns "&amp;B99&amp;" to "&amp;B103&amp;")"</f>
        <v>(sum lns 48 to 52)</v>
      </c>
      <c r="F104" s="332"/>
      <c r="G104" s="350">
        <f>SUM(G99:G103)</f>
        <v>-226861103.14899999</v>
      </c>
      <c r="H104" s="566"/>
      <c r="I104" s="336"/>
      <c r="J104" s="404"/>
      <c r="K104" s="332"/>
      <c r="L104" s="350">
        <f>SUM(L99:L103)</f>
        <v>-25216907.903953951</v>
      </c>
      <c r="M104" s="332"/>
      <c r="N104" s="405"/>
    </row>
    <row r="105" spans="2:15">
      <c r="B105" s="341"/>
      <c r="C105" s="342"/>
      <c r="D105" s="385"/>
      <c r="E105" s="332"/>
      <c r="F105" s="332"/>
      <c r="G105" s="350"/>
      <c r="H105" s="566"/>
      <c r="I105" s="336"/>
      <c r="J105" s="395"/>
      <c r="K105" s="332"/>
      <c r="L105" s="350"/>
      <c r="M105" s="332"/>
      <c r="N105" s="307"/>
    </row>
    <row r="106" spans="2:15">
      <c r="B106" s="341">
        <f>+B104+1</f>
        <v>54</v>
      </c>
      <c r="C106" s="342"/>
      <c r="D106" s="385" t="s">
        <v>205</v>
      </c>
      <c r="E106" s="332" t="str">
        <f>"(Worksheet A ln "&amp;'WS A - RB Support'!A69&amp;"."&amp;'WS A - RB Support'!F68&amp;" &amp; "&amp;"ln "&amp;'WS A - RB Support'!A71&amp;"."&amp;'WS A - RB Support'!F68&amp;")"</f>
        <v>(Worksheet A ln 44.(e) &amp; ln 45.(e))</v>
      </c>
      <c r="F106" s="332"/>
      <c r="G106" s="350">
        <f>'WS A - RB Support'!F69</f>
        <v>0</v>
      </c>
      <c r="H106" s="566"/>
      <c r="I106" s="336" t="s">
        <v>129</v>
      </c>
      <c r="J106" s="337"/>
      <c r="K106" s="332"/>
      <c r="L106" s="350">
        <f>'WS A - RB Support'!F71</f>
        <v>0</v>
      </c>
      <c r="M106" s="332"/>
      <c r="N106" s="307"/>
    </row>
    <row r="107" spans="2:15">
      <c r="B107" s="341"/>
      <c r="C107" s="342"/>
      <c r="D107" s="385"/>
      <c r="E107" s="332"/>
      <c r="F107" s="332"/>
      <c r="G107" s="350"/>
      <c r="H107" s="566"/>
      <c r="I107" s="336"/>
      <c r="J107" s="337"/>
      <c r="K107" s="332"/>
      <c r="L107" s="350"/>
      <c r="M107" s="332"/>
      <c r="N107" s="307"/>
    </row>
    <row r="108" spans="2:15">
      <c r="B108" s="341">
        <f>+B106+1</f>
        <v>55</v>
      </c>
      <c r="C108" s="342"/>
      <c r="D108" s="385" t="s">
        <v>327</v>
      </c>
      <c r="E108" s="332" t="str">
        <f>"(Worksheet A ln "&amp;'WS A - RB Support'!A80&amp;"."&amp;'WS A - RB Support'!F68&amp;")"</f>
        <v>(Worksheet A ln 51.(e))</v>
      </c>
      <c r="F108" s="332"/>
      <c r="G108" s="350">
        <f>'WS A - RB Support'!F80</f>
        <v>0</v>
      </c>
      <c r="H108" s="566"/>
      <c r="I108" s="336" t="s">
        <v>129</v>
      </c>
      <c r="J108" s="332"/>
      <c r="K108" s="332"/>
      <c r="L108" s="350">
        <f>+G108</f>
        <v>0</v>
      </c>
      <c r="M108" s="332"/>
      <c r="N108" s="307"/>
    </row>
    <row r="109" spans="2:15">
      <c r="B109" s="341"/>
      <c r="C109" s="342"/>
      <c r="D109" s="385"/>
      <c r="E109" s="332"/>
      <c r="F109" s="332"/>
      <c r="G109" s="350"/>
      <c r="H109" s="566"/>
      <c r="I109" s="336"/>
      <c r="J109" s="332"/>
      <c r="K109" s="332"/>
      <c r="L109" s="350"/>
      <c r="M109" s="332"/>
      <c r="N109" s="307"/>
    </row>
    <row r="110" spans="2:15" ht="14.25" customHeight="1">
      <c r="B110" s="341">
        <f>+B108+1</f>
        <v>56</v>
      </c>
      <c r="C110" s="394"/>
      <c r="D110" s="461" t="s">
        <v>740</v>
      </c>
      <c r="E110" s="332" t="str">
        <f>"(Worksheet A ln "&amp;'WS A - RB Support'!A88&amp;"."&amp;'WS A - RB Support'!F68&amp;")"</f>
        <v>(Worksheet A ln 54.(e))</v>
      </c>
      <c r="F110" s="332"/>
      <c r="G110" s="335">
        <f>-'WS A - RB Support'!F88</f>
        <v>-237914.39500000002</v>
      </c>
      <c r="H110" s="350"/>
      <c r="I110" s="336" t="s">
        <v>132</v>
      </c>
      <c r="J110" s="337">
        <f>L241</f>
        <v>2.8842754279883847E-2</v>
      </c>
      <c r="K110" s="332"/>
      <c r="L110" s="335">
        <f>G110*J110</f>
        <v>-6862.1064346322264</v>
      </c>
      <c r="M110" s="332"/>
      <c r="N110" s="307"/>
    </row>
    <row r="111" spans="2:15">
      <c r="B111" s="341"/>
      <c r="C111" s="342"/>
      <c r="D111" s="385"/>
      <c r="E111" s="332"/>
      <c r="F111" s="332"/>
      <c r="G111" s="350"/>
      <c r="H111" s="566"/>
      <c r="I111" s="336"/>
      <c r="J111" s="332"/>
      <c r="K111" s="332"/>
      <c r="L111" s="350"/>
      <c r="M111" s="332"/>
      <c r="N111" s="307"/>
    </row>
    <row r="112" spans="2:15">
      <c r="B112" s="341">
        <f>+B110+1</f>
        <v>57</v>
      </c>
      <c r="C112" s="342"/>
      <c r="D112" s="385" t="s">
        <v>93</v>
      </c>
      <c r="E112" s="332" t="s">
        <v>497</v>
      </c>
      <c r="F112" s="332"/>
      <c r="G112" s="350"/>
      <c r="H112" s="566"/>
      <c r="I112" s="336"/>
      <c r="J112" s="332"/>
      <c r="K112" s="332"/>
      <c r="L112" s="350"/>
      <c r="M112" s="332"/>
      <c r="N112" s="307"/>
    </row>
    <row r="113" spans="2:14">
      <c r="B113" s="341">
        <f t="shared" ref="B113:B120" si="5">+B112+1</f>
        <v>58</v>
      </c>
      <c r="C113" s="394"/>
      <c r="D113" s="385" t="s">
        <v>204</v>
      </c>
      <c r="E113" s="307" t="str">
        <f>"(1/8 * ln "&amp;B149&amp;")"</f>
        <v>(1/8 * ln 78)</v>
      </c>
      <c r="F113" s="307"/>
      <c r="G113" s="350">
        <f>+G149/8</f>
        <v>166250.97887500003</v>
      </c>
      <c r="H113" s="332"/>
      <c r="I113" s="336"/>
      <c r="J113" s="395"/>
      <c r="K113" s="332"/>
      <c r="L113" s="350">
        <f>+L149/8</f>
        <v>154153.87154758559</v>
      </c>
      <c r="M113" s="327"/>
      <c r="N113" s="307"/>
    </row>
    <row r="114" spans="2:14">
      <c r="B114" s="341">
        <f t="shared" si="5"/>
        <v>59</v>
      </c>
      <c r="C114" s="394"/>
      <c r="D114" s="385" t="s">
        <v>335</v>
      </c>
      <c r="E114" s="332" t="s">
        <v>540</v>
      </c>
      <c r="F114" s="332"/>
      <c r="G114" s="350">
        <f>'WS C  - Working Capital'!I17</f>
        <v>2757</v>
      </c>
      <c r="H114" s="566"/>
      <c r="I114" s="336" t="s">
        <v>120</v>
      </c>
      <c r="J114" s="337">
        <f>L231</f>
        <v>0.92723587308012212</v>
      </c>
      <c r="K114" s="332"/>
      <c r="L114" s="350">
        <f>+J114*G114</f>
        <v>2556.3893020818969</v>
      </c>
      <c r="M114" s="332"/>
      <c r="N114" s="307"/>
    </row>
    <row r="115" spans="2:14">
      <c r="B115" s="341">
        <f t="shared" si="5"/>
        <v>60</v>
      </c>
      <c r="C115" s="394"/>
      <c r="D115" s="385" t="s">
        <v>336</v>
      </c>
      <c r="E115" s="332" t="s">
        <v>541</v>
      </c>
      <c r="F115" s="332"/>
      <c r="G115" s="350">
        <f>'WS C  - Working Capital'!I19</f>
        <v>1049</v>
      </c>
      <c r="H115" s="566"/>
      <c r="I115" s="336" t="s">
        <v>132</v>
      </c>
      <c r="J115" s="337">
        <f>L241</f>
        <v>2.8842754279883847E-2</v>
      </c>
      <c r="K115" s="332"/>
      <c r="L115" s="350">
        <f>+J115*G115</f>
        <v>30.256049239598156</v>
      </c>
      <c r="M115" s="332"/>
      <c r="N115" s="307"/>
    </row>
    <row r="116" spans="2:14">
      <c r="B116" s="341">
        <f t="shared" si="5"/>
        <v>61</v>
      </c>
      <c r="C116" s="394"/>
      <c r="D116" s="385" t="s">
        <v>528</v>
      </c>
      <c r="E116" s="332" t="s">
        <v>542</v>
      </c>
      <c r="F116" s="332"/>
      <c r="G116" s="350">
        <f>'WS C  - Working Capital'!I21</f>
        <v>0</v>
      </c>
      <c r="H116" s="566"/>
      <c r="I116" s="336" t="s">
        <v>751</v>
      </c>
      <c r="J116" s="337">
        <f>J75</f>
        <v>0.10448236247970734</v>
      </c>
      <c r="K116" s="332"/>
      <c r="L116" s="350">
        <f>+J116*G116</f>
        <v>0</v>
      </c>
      <c r="M116" s="332"/>
      <c r="N116" s="307"/>
    </row>
    <row r="117" spans="2:14">
      <c r="B117" s="341">
        <f t="shared" si="5"/>
        <v>62</v>
      </c>
      <c r="C117" s="394"/>
      <c r="D117" s="385" t="s">
        <v>208</v>
      </c>
      <c r="E117" s="332" t="s">
        <v>571</v>
      </c>
      <c r="F117" s="332"/>
      <c r="G117" s="350">
        <f>'WS C  - Working Capital'!J31</f>
        <v>6231593.7410000004</v>
      </c>
      <c r="H117" s="566"/>
      <c r="I117" s="336" t="s">
        <v>132</v>
      </c>
      <c r="J117" s="337">
        <f>L241</f>
        <v>2.8842754279883847E-2</v>
      </c>
      <c r="K117" s="332"/>
      <c r="L117" s="350">
        <f>+J117*G117</f>
        <v>179736.32704372515</v>
      </c>
      <c r="M117" s="332"/>
      <c r="N117" s="307"/>
    </row>
    <row r="118" spans="2:14">
      <c r="B118" s="341">
        <f t="shared" si="5"/>
        <v>63</v>
      </c>
      <c r="C118" s="394"/>
      <c r="D118" s="385" t="s">
        <v>209</v>
      </c>
      <c r="E118" s="332" t="s">
        <v>570</v>
      </c>
      <c r="F118" s="332"/>
      <c r="G118" s="350">
        <f>'WS C  - Working Capital'!I31</f>
        <v>470972.67850000004</v>
      </c>
      <c r="H118" s="566"/>
      <c r="I118" s="336" t="s">
        <v>751</v>
      </c>
      <c r="J118" s="337">
        <f>J75</f>
        <v>0.10448236247970734</v>
      </c>
      <c r="K118" s="332"/>
      <c r="L118" s="350">
        <f>+G118*J118</f>
        <v>49208.338113075668</v>
      </c>
      <c r="M118" s="332"/>
      <c r="N118" s="307"/>
    </row>
    <row r="119" spans="2:14">
      <c r="B119" s="341">
        <f t="shared" si="5"/>
        <v>64</v>
      </c>
      <c r="C119" s="394"/>
      <c r="D119" s="385" t="s">
        <v>305</v>
      </c>
      <c r="E119" s="332" t="s">
        <v>572</v>
      </c>
      <c r="F119" s="332"/>
      <c r="G119" s="350">
        <f>'WS C  - Working Capital'!G31</f>
        <v>0</v>
      </c>
      <c r="H119" s="566"/>
      <c r="I119" s="336" t="s">
        <v>129</v>
      </c>
      <c r="J119" s="337">
        <v>1</v>
      </c>
      <c r="K119" s="332"/>
      <c r="L119" s="350">
        <f>+G119*J119</f>
        <v>0</v>
      </c>
      <c r="M119" s="332"/>
      <c r="N119" s="307"/>
    </row>
    <row r="120" spans="2:14" ht="15.75" thickBot="1">
      <c r="B120" s="341">
        <f t="shared" si="5"/>
        <v>65</v>
      </c>
      <c r="C120" s="394"/>
      <c r="D120" s="385" t="s">
        <v>105</v>
      </c>
      <c r="E120" s="332" t="s">
        <v>573</v>
      </c>
      <c r="F120" s="332"/>
      <c r="G120" s="386">
        <f>'WS C  - Working Capital'!E31</f>
        <v>-5794279.7850000001</v>
      </c>
      <c r="H120" s="350"/>
      <c r="I120" s="336" t="s">
        <v>127</v>
      </c>
      <c r="J120" s="337">
        <v>0</v>
      </c>
      <c r="K120" s="332"/>
      <c r="L120" s="386">
        <f>+G120*J120</f>
        <v>0</v>
      </c>
      <c r="M120" s="332"/>
      <c r="N120" s="307"/>
    </row>
    <row r="121" spans="2:14">
      <c r="B121" s="341">
        <f>+B120+1</f>
        <v>66</v>
      </c>
      <c r="C121" s="394"/>
      <c r="D121" s="385" t="s">
        <v>44</v>
      </c>
      <c r="E121" s="385" t="str">
        <f>"(sum lns "&amp;B113&amp;" to "&amp;B120&amp;")"</f>
        <v>(sum lns 58 to 65)</v>
      </c>
      <c r="F121" s="327"/>
      <c r="G121" s="350">
        <f>SUM(G113:G120)</f>
        <v>1078343.6133750007</v>
      </c>
      <c r="H121" s="327"/>
      <c r="I121" s="342"/>
      <c r="J121" s="327"/>
      <c r="K121" s="327"/>
      <c r="L121" s="350">
        <f>SUM(L113:L120)</f>
        <v>385685.18205570785</v>
      </c>
      <c r="M121" s="327"/>
      <c r="N121" s="307"/>
    </row>
    <row r="122" spans="2:14">
      <c r="B122" s="341"/>
      <c r="C122" s="342"/>
      <c r="D122" s="385"/>
      <c r="E122" s="327"/>
      <c r="F122" s="327"/>
      <c r="G122" s="350"/>
      <c r="H122" s="327"/>
      <c r="I122" s="342"/>
      <c r="J122" s="327"/>
      <c r="K122" s="327"/>
      <c r="L122" s="350"/>
      <c r="M122" s="327"/>
      <c r="N122" s="307"/>
    </row>
    <row r="123" spans="2:14">
      <c r="B123" s="341">
        <f>+B121+1</f>
        <v>67</v>
      </c>
      <c r="C123" s="342"/>
      <c r="D123" s="385" t="s">
        <v>31</v>
      </c>
      <c r="E123" s="353" t="s">
        <v>543</v>
      </c>
      <c r="F123" s="327"/>
      <c r="G123" s="350">
        <f>+'WS D IPP Credits'!C23</f>
        <v>0</v>
      </c>
      <c r="H123" s="327"/>
      <c r="I123" s="458" t="s">
        <v>129</v>
      </c>
      <c r="J123" s="337">
        <v>1</v>
      </c>
      <c r="K123" s="332"/>
      <c r="L123" s="350">
        <f>+J123*G123</f>
        <v>0</v>
      </c>
      <c r="M123" s="327"/>
      <c r="N123" s="307"/>
    </row>
    <row r="124" spans="2:14" ht="15.75" thickBot="1">
      <c r="B124" s="341"/>
      <c r="C124" s="307"/>
      <c r="D124" s="466"/>
      <c r="E124" s="332"/>
      <c r="F124" s="332"/>
      <c r="G124" s="386"/>
      <c r="H124" s="332"/>
      <c r="I124" s="336"/>
      <c r="J124" s="332"/>
      <c r="K124" s="332"/>
      <c r="L124" s="386"/>
      <c r="M124" s="332"/>
      <c r="N124" s="307"/>
    </row>
    <row r="125" spans="2:14" ht="15.75" thickBot="1">
      <c r="B125" s="341">
        <f>+B123+1</f>
        <v>68</v>
      </c>
      <c r="C125" s="342"/>
      <c r="D125" s="353" t="str">
        <f>"RATE BASE  (sum lns "&amp;B95&amp;", "&amp;B104&amp;", "&amp;B106&amp;", "&amp;B108&amp;", "&amp;B110&amp;", "&amp;B121&amp;", "&amp;B123&amp;")"</f>
        <v>RATE BASE  (sum lns 46, 53, 54, 55, 56, 66, 67)</v>
      </c>
      <c r="E125" s="332"/>
      <c r="F125" s="332"/>
      <c r="G125" s="1099">
        <f>+G121+G106+G104+G95+G123+G108+G110</f>
        <v>647922913.67245162</v>
      </c>
      <c r="H125" s="332"/>
      <c r="I125" s="332"/>
      <c r="J125" s="395"/>
      <c r="K125" s="332"/>
      <c r="L125" s="1099">
        <f>+L121+L106+L104+L95+L123+L108+L110</f>
        <v>100248517.2695417</v>
      </c>
      <c r="M125" s="332"/>
      <c r="N125" s="307"/>
    </row>
    <row r="126" spans="2:14" ht="16.5" thickTop="1">
      <c r="B126" s="316"/>
      <c r="C126" s="357"/>
      <c r="D126" s="357"/>
      <c r="E126" s="357"/>
      <c r="F126" s="357"/>
      <c r="G126" s="357"/>
      <c r="H126" s="357"/>
      <c r="I126" s="306"/>
      <c r="J126" s="306"/>
      <c r="K126" s="306"/>
      <c r="L126" s="1057"/>
      <c r="M126" s="307"/>
      <c r="N126" s="307"/>
    </row>
    <row r="127" spans="2:14">
      <c r="B127" s="409"/>
      <c r="C127" s="317"/>
      <c r="D127" s="308"/>
      <c r="E127" s="314"/>
      <c r="F127" s="314"/>
      <c r="G127" s="314"/>
      <c r="H127" s="314"/>
      <c r="I127" s="314"/>
      <c r="J127" s="314"/>
      <c r="K127" s="314"/>
      <c r="L127" s="314"/>
      <c r="M127" s="332"/>
      <c r="N127" s="307"/>
    </row>
    <row r="128" spans="2:14">
      <c r="B128" s="409"/>
      <c r="C128" s="317"/>
      <c r="D128" s="308"/>
      <c r="E128" s="314"/>
      <c r="F128" s="345" t="str">
        <f>F54</f>
        <v xml:space="preserve">AEP East Companies </v>
      </c>
      <c r="G128" s="345"/>
      <c r="H128" s="314"/>
      <c r="I128" s="314"/>
      <c r="J128" s="314"/>
      <c r="K128" s="314"/>
      <c r="L128" s="314"/>
      <c r="M128" s="410"/>
      <c r="N128" s="307"/>
    </row>
    <row r="129" spans="2:15">
      <c r="B129" s="409"/>
      <c r="C129" s="317"/>
      <c r="D129" s="308"/>
      <c r="E129" s="314"/>
      <c r="F129" s="345" t="str">
        <f>F55</f>
        <v>Transmission Cost of Service Formula Rate</v>
      </c>
      <c r="G129" s="345"/>
      <c r="H129" s="314"/>
      <c r="I129" s="314"/>
      <c r="J129" s="314"/>
      <c r="K129" s="314"/>
      <c r="L129" s="314"/>
      <c r="M129" s="410"/>
      <c r="N129" s="307"/>
    </row>
    <row r="130" spans="2:15">
      <c r="B130" s="409"/>
      <c r="C130" s="317"/>
      <c r="E130" s="314"/>
      <c r="F130" s="345" t="str">
        <f>F56</f>
        <v>Utilizing  Actual/Projected FERC Form 1 Data</v>
      </c>
      <c r="G130" s="314"/>
      <c r="H130" s="314"/>
      <c r="I130" s="314"/>
      <c r="J130" s="314"/>
      <c r="K130" s="314"/>
      <c r="L130" s="314"/>
      <c r="M130" s="367"/>
      <c r="N130" s="307"/>
    </row>
    <row r="131" spans="2:15">
      <c r="B131" s="409"/>
      <c r="C131" s="317"/>
      <c r="E131" s="314"/>
      <c r="F131" s="345"/>
      <c r="G131" s="314"/>
      <c r="H131" s="314"/>
      <c r="I131" s="314"/>
      <c r="J131" s="314"/>
      <c r="K131" s="314"/>
      <c r="L131" s="314"/>
      <c r="M131" s="332"/>
      <c r="N131" s="307"/>
    </row>
    <row r="132" spans="2:15">
      <c r="B132" s="409"/>
      <c r="C132" s="317"/>
      <c r="E132" s="411"/>
      <c r="F132" s="345" t="str">
        <f>F58</f>
        <v>WHEELING POWER COMPANY</v>
      </c>
      <c r="G132" s="411"/>
      <c r="H132" s="412"/>
      <c r="I132" s="411"/>
      <c r="J132" s="411"/>
      <c r="K132" s="411"/>
      <c r="M132" s="332"/>
      <c r="N132" s="307"/>
    </row>
    <row r="133" spans="2:15">
      <c r="B133" s="409"/>
      <c r="C133" s="317"/>
      <c r="E133" s="411"/>
      <c r="F133" s="345"/>
      <c r="G133" s="411"/>
      <c r="H133" s="412"/>
      <c r="I133" s="411"/>
      <c r="J133" s="411"/>
      <c r="K133" s="411"/>
      <c r="M133" s="332"/>
      <c r="N133" s="307"/>
    </row>
    <row r="134" spans="2:15">
      <c r="B134" s="409"/>
      <c r="D134" s="317" t="s">
        <v>121</v>
      </c>
      <c r="E134" s="317" t="s">
        <v>122</v>
      </c>
      <c r="F134" s="317"/>
      <c r="G134" s="317" t="s">
        <v>123</v>
      </c>
      <c r="H134" s="332"/>
      <c r="I134" s="1548" t="s">
        <v>124</v>
      </c>
      <c r="J134" s="1552"/>
      <c r="K134" s="314"/>
      <c r="L134" s="318" t="s">
        <v>125</v>
      </c>
      <c r="M134" s="332"/>
      <c r="N134" s="414"/>
    </row>
    <row r="135" spans="2:15" ht="15.75">
      <c r="B135" s="409"/>
      <c r="D135" s="317"/>
      <c r="E135" s="317"/>
      <c r="F135" s="317"/>
      <c r="G135" s="317"/>
      <c r="H135" s="332"/>
      <c r="I135" s="314"/>
      <c r="J135" s="369"/>
      <c r="K135" s="314"/>
      <c r="M135" s="332"/>
      <c r="N135" s="415"/>
      <c r="O135" s="416"/>
    </row>
    <row r="136" spans="2:15" ht="15.75">
      <c r="B136" s="409"/>
      <c r="C136" s="317"/>
      <c r="D136" s="417" t="s">
        <v>101</v>
      </c>
      <c r="E136" s="371" t="str">
        <f>E62</f>
        <v>Data Sources</v>
      </c>
      <c r="F136" s="372"/>
      <c r="G136" s="314"/>
      <c r="H136" s="332"/>
      <c r="I136" s="314"/>
      <c r="J136" s="317"/>
      <c r="K136" s="314"/>
      <c r="L136" s="371" t="str">
        <f>L62</f>
        <v>Total</v>
      </c>
      <c r="M136" s="307"/>
      <c r="N136" s="415"/>
      <c r="O136" s="416"/>
    </row>
    <row r="137" spans="2:15" ht="15.75">
      <c r="B137" s="409"/>
      <c r="C137" s="324"/>
      <c r="D137" s="374" t="s">
        <v>102</v>
      </c>
      <c r="E137" s="418" t="str">
        <f>E63</f>
        <v>(See "General Notes")</v>
      </c>
      <c r="F137" s="314"/>
      <c r="G137" s="418" t="str">
        <f>G63</f>
        <v>TO Total</v>
      </c>
      <c r="H137" s="419"/>
      <c r="I137" s="1550" t="str">
        <f>I63</f>
        <v>Allocator</v>
      </c>
      <c r="J137" s="1551"/>
      <c r="K137" s="376"/>
      <c r="L137" s="418" t="str">
        <f>L63</f>
        <v>Transmission</v>
      </c>
      <c r="M137" s="332"/>
      <c r="N137" s="415"/>
      <c r="O137" s="416"/>
    </row>
    <row r="138" spans="2:15" ht="15.75">
      <c r="B138" s="316" t="str">
        <f>B64</f>
        <v>Line</v>
      </c>
      <c r="D138" s="308"/>
      <c r="E138" s="314"/>
      <c r="F138" s="314"/>
      <c r="G138" s="374"/>
      <c r="H138" s="420"/>
      <c r="I138" s="417"/>
      <c r="K138" s="421"/>
      <c r="L138" s="374"/>
      <c r="M138" s="332"/>
      <c r="N138" s="307"/>
    </row>
    <row r="139" spans="2:15">
      <c r="B139" s="316" t="str">
        <f>B65</f>
        <v>No.</v>
      </c>
      <c r="C139" s="317"/>
      <c r="D139" s="308" t="s">
        <v>103</v>
      </c>
      <c r="E139" s="314"/>
      <c r="F139" s="314"/>
      <c r="G139" s="314"/>
      <c r="H139" s="332"/>
      <c r="I139" s="345"/>
      <c r="J139" s="314"/>
      <c r="K139" s="314"/>
      <c r="L139" s="314"/>
      <c r="M139" s="332"/>
      <c r="N139" s="307"/>
    </row>
    <row r="140" spans="2:15">
      <c r="B140" s="316">
        <f>+B125+1</f>
        <v>69</v>
      </c>
      <c r="C140" s="317"/>
      <c r="D140" s="308" t="s">
        <v>126</v>
      </c>
      <c r="E140" s="314" t="s">
        <v>10</v>
      </c>
      <c r="F140" s="314"/>
      <c r="G140" s="826">
        <v>178059033</v>
      </c>
      <c r="H140" s="332"/>
      <c r="I140" s="345"/>
      <c r="J140" s="337"/>
      <c r="K140" s="314"/>
      <c r="L140" s="350"/>
      <c r="M140" s="332"/>
      <c r="N140" s="307"/>
    </row>
    <row r="141" spans="2:15">
      <c r="B141" s="316">
        <f>+B140+1</f>
        <v>70</v>
      </c>
      <c r="C141" s="317"/>
      <c r="D141" s="353" t="s">
        <v>130</v>
      </c>
      <c r="E141" s="314" t="s">
        <v>11</v>
      </c>
      <c r="F141" s="332"/>
      <c r="G141" s="826">
        <v>17175530</v>
      </c>
      <c r="H141" s="332"/>
      <c r="I141" s="345"/>
      <c r="J141" s="337"/>
      <c r="K141" s="314"/>
      <c r="L141" s="350"/>
      <c r="M141" s="332"/>
      <c r="N141" s="307"/>
    </row>
    <row r="142" spans="2:15">
      <c r="B142" s="316">
        <f t="shared" ref="B142:B147" si="6">+B141+1</f>
        <v>71</v>
      </c>
      <c r="C142" s="317"/>
      <c r="D142" s="353" t="s">
        <v>246</v>
      </c>
      <c r="E142" s="314" t="s">
        <v>202</v>
      </c>
      <c r="F142" s="332"/>
      <c r="G142" s="826">
        <f>1450648+1360846+4130</f>
        <v>2815624</v>
      </c>
      <c r="H142" s="332"/>
      <c r="I142" s="336"/>
      <c r="J142" s="337"/>
      <c r="K142" s="332"/>
      <c r="L142" s="350"/>
      <c r="M142" s="332"/>
      <c r="N142" s="307"/>
    </row>
    <row r="143" spans="2:15">
      <c r="B143" s="316">
        <f t="shared" si="6"/>
        <v>72</v>
      </c>
      <c r="C143" s="317"/>
      <c r="D143" s="353" t="s">
        <v>247</v>
      </c>
      <c r="E143" s="314" t="s">
        <v>417</v>
      </c>
      <c r="F143" s="332"/>
      <c r="G143" s="826">
        <v>813529</v>
      </c>
      <c r="H143" s="332"/>
      <c r="I143" s="336"/>
      <c r="J143" s="337"/>
      <c r="K143" s="332"/>
      <c r="L143" s="350"/>
      <c r="M143" s="332"/>
      <c r="N143" s="307"/>
    </row>
    <row r="144" spans="2:15" ht="15.75" thickBot="1">
      <c r="B144" s="316">
        <f t="shared" si="6"/>
        <v>73</v>
      </c>
      <c r="C144" s="317"/>
      <c r="D144" s="353" t="s">
        <v>135</v>
      </c>
      <c r="E144" s="314" t="s">
        <v>416</v>
      </c>
      <c r="F144" s="332"/>
      <c r="G144" s="827">
        <v>75050963</v>
      </c>
      <c r="H144" s="350"/>
      <c r="I144" s="357"/>
      <c r="J144" s="357"/>
      <c r="K144" s="319"/>
      <c r="L144" s="319"/>
      <c r="M144" s="327"/>
      <c r="N144" s="332"/>
      <c r="O144" s="314"/>
    </row>
    <row r="145" spans="2:15">
      <c r="B145" s="316">
        <f t="shared" si="6"/>
        <v>74</v>
      </c>
      <c r="C145" s="317"/>
      <c r="D145" s="353" t="s">
        <v>248</v>
      </c>
      <c r="E145" s="332" t="str">
        <f>"(sum lns "&amp;B140&amp;"  to "&amp;B144&amp;")"</f>
        <v>(sum lns 69  to 73)</v>
      </c>
      <c r="F145" s="332"/>
      <c r="G145" s="350">
        <f>SUM(G140:G144)</f>
        <v>273914679</v>
      </c>
      <c r="H145" s="350"/>
      <c r="I145" s="357"/>
      <c r="J145" s="357"/>
      <c r="K145" s="319"/>
      <c r="L145" s="319"/>
      <c r="M145" s="327"/>
      <c r="N145" s="332"/>
      <c r="O145" s="314"/>
    </row>
    <row r="146" spans="2:15">
      <c r="B146" s="316">
        <f t="shared" si="6"/>
        <v>75</v>
      </c>
      <c r="C146" s="317"/>
      <c r="D146" s="353" t="s">
        <v>328</v>
      </c>
      <c r="E146" s="332" t="str">
        <f>"(Note G) (Worksheet F, ln "&amp;'WS F Misc Exp'!A33&amp;".C)"</f>
        <v>(Note G) (Worksheet F, ln 14.C)</v>
      </c>
      <c r="F146" s="332"/>
      <c r="G146" s="350">
        <f>'WS F Misc Exp'!D33</f>
        <v>1394646.1690000002</v>
      </c>
      <c r="H146" s="350"/>
      <c r="I146" s="357"/>
      <c r="J146" s="357"/>
      <c r="K146" s="319"/>
      <c r="L146" s="319"/>
      <c r="M146" s="327"/>
      <c r="N146" s="332"/>
      <c r="O146" s="314"/>
    </row>
    <row r="147" spans="2:15">
      <c r="B147" s="316">
        <f t="shared" si="6"/>
        <v>76</v>
      </c>
      <c r="C147" s="317"/>
      <c r="D147" s="353" t="s">
        <v>23</v>
      </c>
      <c r="E147" s="332" t="s">
        <v>100</v>
      </c>
      <c r="F147" s="332"/>
      <c r="G147" s="826">
        <v>72326309</v>
      </c>
      <c r="H147" s="350"/>
      <c r="I147" s="357"/>
      <c r="J147" s="357"/>
      <c r="K147" s="319"/>
      <c r="L147" s="319"/>
      <c r="M147" s="327"/>
      <c r="N147" s="332"/>
      <c r="O147" s="314"/>
    </row>
    <row r="148" spans="2:15" ht="15.75" thickBot="1">
      <c r="B148" s="316">
        <f>+B147+1</f>
        <v>77</v>
      </c>
      <c r="C148" s="342"/>
      <c r="D148" s="353" t="s">
        <v>332</v>
      </c>
      <c r="E148" s="332" t="s">
        <v>479</v>
      </c>
      <c r="F148" s="332"/>
      <c r="G148" s="386">
        <f>+'WS F Misc Exp'!D21</f>
        <v>0</v>
      </c>
      <c r="H148" s="350"/>
      <c r="I148" s="403"/>
      <c r="J148" s="403"/>
      <c r="K148" s="319"/>
      <c r="L148" s="319"/>
      <c r="M148" s="327"/>
      <c r="N148" s="332"/>
      <c r="O148" s="314"/>
    </row>
    <row r="149" spans="2:15">
      <c r="B149" s="316">
        <f>+B148+1</f>
        <v>78</v>
      </c>
      <c r="C149" s="317"/>
      <c r="D149" s="353" t="s">
        <v>384</v>
      </c>
      <c r="E149" s="314" t="str">
        <f>"(lns "&amp;B144&amp;" - "&amp;B146&amp;" - "&amp;B147&amp;" - "&amp;B148&amp;")"</f>
        <v>(lns 73 - 75 - 76 - 77)</v>
      </c>
      <c r="F149" s="353"/>
      <c r="G149" s="350">
        <f>G144-G146-G147-G148</f>
        <v>1330007.8310000002</v>
      </c>
      <c r="H149" s="332"/>
      <c r="I149" s="345" t="s">
        <v>120</v>
      </c>
      <c r="J149" s="337">
        <f>L231</f>
        <v>0.92723587308012212</v>
      </c>
      <c r="K149" s="332"/>
      <c r="L149" s="350">
        <f>+J149*G149</f>
        <v>1233230.9723806847</v>
      </c>
      <c r="M149" s="327"/>
      <c r="N149" s="332"/>
      <c r="O149" s="314"/>
    </row>
    <row r="150" spans="2:15">
      <c r="B150" s="316"/>
      <c r="C150" s="317"/>
      <c r="D150" s="353"/>
      <c r="E150" s="332"/>
      <c r="F150" s="332"/>
      <c r="G150" s="422"/>
      <c r="H150" s="350"/>
      <c r="I150" s="357"/>
      <c r="J150" s="357"/>
      <c r="K150" s="319"/>
      <c r="L150" s="319"/>
      <c r="M150" s="327"/>
      <c r="N150" s="332"/>
      <c r="O150" s="314"/>
    </row>
    <row r="151" spans="2:15">
      <c r="B151" s="316">
        <f>+B149+1</f>
        <v>79</v>
      </c>
      <c r="C151" s="317"/>
      <c r="D151" s="308" t="s">
        <v>104</v>
      </c>
      <c r="E151" s="332" t="s">
        <v>742</v>
      </c>
      <c r="F151" s="332"/>
      <c r="G151" s="826">
        <v>9428211</v>
      </c>
      <c r="H151" s="350"/>
      <c r="I151" s="398"/>
      <c r="J151" s="398"/>
      <c r="K151" s="314"/>
      <c r="L151" s="397"/>
      <c r="M151" s="332"/>
      <c r="N151" s="332"/>
      <c r="O151" s="314"/>
    </row>
    <row r="152" spans="2:15">
      <c r="B152" s="316">
        <f t="shared" ref="B152:B165" si="7">+B151+1</f>
        <v>80</v>
      </c>
      <c r="C152" s="317"/>
      <c r="D152" s="353" t="s">
        <v>330</v>
      </c>
      <c r="E152" s="314" t="s">
        <v>418</v>
      </c>
      <c r="F152" s="314"/>
      <c r="G152" s="826">
        <v>397353</v>
      </c>
      <c r="H152" s="350"/>
      <c r="I152" s="398"/>
      <c r="J152" s="308"/>
      <c r="K152" s="314"/>
      <c r="L152" s="397"/>
      <c r="M152" s="401"/>
      <c r="N152" s="332"/>
      <c r="O152" s="314"/>
    </row>
    <row r="153" spans="2:15">
      <c r="B153" s="316">
        <f t="shared" si="7"/>
        <v>81</v>
      </c>
      <c r="C153" s="317"/>
      <c r="D153" s="1221" t="s">
        <v>851</v>
      </c>
      <c r="E153" s="332" t="str">
        <f>"PBOP Worksheet O Line "&amp;'WS O - PBOP'!A37&amp;" &amp; "&amp;'WS O - PBOP'!A39&amp;", (Note K)"</f>
        <v>PBOP Worksheet O Line 9 &amp; 10, (Note K)</v>
      </c>
      <c r="F153" s="314"/>
      <c r="G153" s="1222">
        <f>'WS O - PBOP'!J37+'WS O - PBOP'!J39</f>
        <v>-1145748.0000000005</v>
      </c>
      <c r="H153" s="350"/>
      <c r="I153" s="398"/>
      <c r="J153" s="308"/>
      <c r="K153" s="314"/>
      <c r="L153" s="397"/>
      <c r="M153" s="401"/>
      <c r="N153" s="332"/>
      <c r="O153" s="314"/>
    </row>
    <row r="154" spans="2:15">
      <c r="B154" s="316">
        <f t="shared" si="7"/>
        <v>82</v>
      </c>
      <c r="C154" s="317"/>
      <c r="D154" s="353" t="s">
        <v>852</v>
      </c>
      <c r="E154" s="332" t="str">
        <f>"PBOP Worksheet O  Line "&amp;'WS O - PBOP'!A41&amp;", (Note K)"</f>
        <v>PBOP Worksheet O  Line 11, (Note K)</v>
      </c>
      <c r="F154" s="314"/>
      <c r="G154" s="1222">
        <f>'WS O - PBOP'!J41</f>
        <v>0</v>
      </c>
      <c r="H154" s="350"/>
      <c r="I154" s="398"/>
      <c r="J154" s="308"/>
      <c r="K154" s="314"/>
      <c r="L154" s="397"/>
      <c r="M154" s="401"/>
      <c r="N154" s="332"/>
      <c r="O154" s="314"/>
    </row>
    <row r="155" spans="2:15">
      <c r="B155" s="316">
        <f t="shared" si="7"/>
        <v>83</v>
      </c>
      <c r="C155" s="317"/>
      <c r="D155" s="353" t="s">
        <v>853</v>
      </c>
      <c r="E155" s="332" t="str">
        <f>"PBOP Worksheet O Line "&amp;'WS O - PBOP'!A45&amp;", (Note K)"</f>
        <v>PBOP Worksheet O Line 13, (Note K)</v>
      </c>
      <c r="F155" s="314"/>
      <c r="G155" s="1222">
        <f>'WS O - PBOP'!J45</f>
        <v>-259813.57460787817</v>
      </c>
      <c r="H155" s="350"/>
      <c r="I155" s="398"/>
      <c r="J155" s="308"/>
      <c r="K155" s="314"/>
      <c r="L155" s="397"/>
      <c r="M155" s="401"/>
      <c r="N155" s="332"/>
      <c r="O155" s="314"/>
    </row>
    <row r="156" spans="2:15">
      <c r="B156" s="316">
        <f t="shared" si="7"/>
        <v>84</v>
      </c>
      <c r="C156" s="317"/>
      <c r="D156" s="308" t="s">
        <v>329</v>
      </c>
      <c r="E156" s="314" t="s">
        <v>96</v>
      </c>
      <c r="F156" s="332"/>
      <c r="G156" s="826">
        <v>1039735</v>
      </c>
      <c r="H156" s="350"/>
      <c r="I156" s="398"/>
      <c r="J156" s="423"/>
      <c r="K156" s="314"/>
      <c r="L156" s="397"/>
      <c r="M156" s="332"/>
      <c r="N156" s="332"/>
      <c r="O156" s="314"/>
    </row>
    <row r="157" spans="2:15">
      <c r="B157" s="316">
        <f t="shared" si="7"/>
        <v>85</v>
      </c>
      <c r="C157" s="317"/>
      <c r="D157" s="353" t="s">
        <v>107</v>
      </c>
      <c r="E157" s="314" t="s">
        <v>97</v>
      </c>
      <c r="F157" s="332"/>
      <c r="G157" s="826">
        <v>2962</v>
      </c>
      <c r="H157" s="350"/>
      <c r="I157" s="398"/>
      <c r="J157" s="398"/>
      <c r="K157" s="314"/>
      <c r="L157" s="397"/>
      <c r="M157" s="332"/>
      <c r="N157" s="332"/>
      <c r="O157" s="314"/>
    </row>
    <row r="158" spans="2:15" ht="15.75" thickBot="1">
      <c r="B158" s="316">
        <f t="shared" si="7"/>
        <v>86</v>
      </c>
      <c r="C158" s="317"/>
      <c r="D158" s="353" t="s">
        <v>331</v>
      </c>
      <c r="E158" s="314" t="s">
        <v>98</v>
      </c>
      <c r="F158" s="332"/>
      <c r="G158" s="827">
        <v>313450</v>
      </c>
      <c r="H158" s="350"/>
      <c r="I158" s="398"/>
      <c r="J158" s="398"/>
      <c r="K158" s="314"/>
      <c r="L158" s="397"/>
      <c r="M158" s="332"/>
      <c r="N158" s="332"/>
      <c r="O158" s="314"/>
    </row>
    <row r="159" spans="2:15">
      <c r="B159" s="316">
        <f t="shared" si="7"/>
        <v>87</v>
      </c>
      <c r="C159" s="317"/>
      <c r="D159" s="308" t="s">
        <v>108</v>
      </c>
      <c r="E159" s="332" t="str">
        <f>"(ln "&amp;B151&amp;" - sum ln "&amp;B152&amp;"  to ln "&amp;B158&amp;")"</f>
        <v>(ln 79 - sum ln 80  to ln 86)</v>
      </c>
      <c r="F159" s="332"/>
      <c r="G159" s="350">
        <f>G151-SUM(G152:G158)</f>
        <v>9080272.5746078789</v>
      </c>
      <c r="H159" s="350"/>
      <c r="I159" s="345" t="s">
        <v>132</v>
      </c>
      <c r="J159" s="337">
        <f>L241</f>
        <v>2.8842754279883847E-2</v>
      </c>
      <c r="K159" s="314"/>
      <c r="L159" s="397">
        <f>+J159*G159</f>
        <v>261900.07066378332</v>
      </c>
      <c r="M159" s="332"/>
      <c r="N159" s="332"/>
      <c r="O159" s="314"/>
    </row>
    <row r="160" spans="2:15">
      <c r="B160" s="316">
        <f t="shared" si="7"/>
        <v>88</v>
      </c>
      <c r="C160" s="342"/>
      <c r="D160" s="353" t="s">
        <v>197</v>
      </c>
      <c r="E160" s="332" t="str">
        <f>"(ln "&amp;B152&amp;")"</f>
        <v>(ln 80)</v>
      </c>
      <c r="F160" s="332"/>
      <c r="G160" s="350">
        <f>+G152</f>
        <v>397353</v>
      </c>
      <c r="H160" s="350"/>
      <c r="I160" s="345" t="s">
        <v>751</v>
      </c>
      <c r="J160" s="337">
        <f>J75</f>
        <v>0.10448236247970734</v>
      </c>
      <c r="K160" s="332"/>
      <c r="L160" s="350">
        <f>+J160*G160</f>
        <v>41516.380178399151</v>
      </c>
      <c r="M160" s="332"/>
      <c r="N160" s="332"/>
      <c r="O160" s="314"/>
    </row>
    <row r="161" spans="2:15">
      <c r="B161" s="316">
        <f t="shared" si="7"/>
        <v>89</v>
      </c>
      <c r="C161" s="317"/>
      <c r="D161" s="353" t="s">
        <v>230</v>
      </c>
      <c r="E161" s="332" t="str">
        <f>"Worksheet F ln "&amp;'WS F Misc Exp'!A42&amp;".(E) (Note L)"</f>
        <v>Worksheet F ln 20.(E) (Note L)</v>
      </c>
      <c r="F161" s="332"/>
      <c r="G161" s="350">
        <f>+'WS F Misc Exp'!F42</f>
        <v>9315.99</v>
      </c>
      <c r="H161" s="350"/>
      <c r="I161" s="345" t="s">
        <v>120</v>
      </c>
      <c r="J161" s="337">
        <f>L231</f>
        <v>0.92723587308012212</v>
      </c>
      <c r="K161" s="314"/>
      <c r="L161" s="397">
        <f>J161*G161</f>
        <v>8638.1201212556862</v>
      </c>
      <c r="M161" s="332"/>
      <c r="N161" s="332"/>
      <c r="O161" s="314"/>
    </row>
    <row r="162" spans="2:15">
      <c r="B162" s="316">
        <f t="shared" si="7"/>
        <v>90</v>
      </c>
      <c r="C162" s="317"/>
      <c r="D162" s="353" t="s">
        <v>240</v>
      </c>
      <c r="E162" s="332" t="str">
        <f>"Worksheet F ln "&amp;'WS F Misc Exp'!A62&amp;".(E) (Note L)"</f>
        <v>Worksheet F ln 37.(E) (Note L)</v>
      </c>
      <c r="F162" s="332"/>
      <c r="G162" s="335">
        <f>+'WS F Misc Exp'!F62</f>
        <v>47.319999999999993</v>
      </c>
      <c r="H162" s="332"/>
      <c r="I162" s="336" t="s">
        <v>120</v>
      </c>
      <c r="J162" s="337">
        <f>L231</f>
        <v>0.92723587308012212</v>
      </c>
      <c r="K162" s="314"/>
      <c r="L162" s="397">
        <f>+J162*G162</f>
        <v>43.876801514151374</v>
      </c>
      <c r="M162" s="332"/>
      <c r="N162" s="332"/>
      <c r="O162" s="314"/>
    </row>
    <row r="163" spans="2:15">
      <c r="B163" s="316">
        <f t="shared" si="7"/>
        <v>91</v>
      </c>
      <c r="C163" s="317"/>
      <c r="D163" s="353" t="s">
        <v>241</v>
      </c>
      <c r="E163" s="332" t="str">
        <f>"Worksheet F ln "&amp;'WS F Misc Exp'!A71&amp;".(E) (Note L)"</f>
        <v>Worksheet F ln 43.(E) (Note L)</v>
      </c>
      <c r="F163" s="332"/>
      <c r="G163" s="335">
        <f>+'WS F Misc Exp'!F71</f>
        <v>59773.626000000004</v>
      </c>
      <c r="H163" s="424"/>
      <c r="I163" s="336" t="s">
        <v>129</v>
      </c>
      <c r="J163" s="337">
        <v>1</v>
      </c>
      <c r="K163" s="314"/>
      <c r="L163" s="425">
        <f>+J163*G163</f>
        <v>59773.626000000004</v>
      </c>
      <c r="M163" s="332"/>
      <c r="N163" s="332"/>
      <c r="O163" s="314"/>
    </row>
    <row r="164" spans="2:15">
      <c r="B164" s="316">
        <f t="shared" si="7"/>
        <v>92</v>
      </c>
      <c r="C164" s="317"/>
      <c r="D164" s="353" t="s">
        <v>854</v>
      </c>
      <c r="E164" s="332" t="s">
        <v>856</v>
      </c>
      <c r="F164" s="332"/>
      <c r="G164" s="1278">
        <f>'WS O - PBOP'!E27</f>
        <v>941150</v>
      </c>
      <c r="H164" s="424"/>
      <c r="I164" s="345" t="s">
        <v>132</v>
      </c>
      <c r="J164" s="337">
        <f>L241</f>
        <v>2.8842754279883847E-2</v>
      </c>
      <c r="K164" s="314"/>
      <c r="L164" s="454">
        <f>+J164*G164</f>
        <v>27145.358190512681</v>
      </c>
      <c r="M164" s="332"/>
      <c r="N164" s="332"/>
      <c r="O164" s="314"/>
    </row>
    <row r="165" spans="2:15">
      <c r="B165" s="316">
        <f t="shared" si="7"/>
        <v>93</v>
      </c>
      <c r="C165" s="317"/>
      <c r="D165" s="308" t="s">
        <v>109</v>
      </c>
      <c r="E165" s="332" t="str">
        <f>"(sum lns "&amp;B159&amp;"  to "&amp;B164&amp;")"</f>
        <v>(sum lns 87  to 92)</v>
      </c>
      <c r="F165" s="332"/>
      <c r="G165" s="397">
        <f>SUM(G159:G164)</f>
        <v>10487912.51060788</v>
      </c>
      <c r="H165" s="350"/>
      <c r="I165" s="345"/>
      <c r="J165" s="398"/>
      <c r="K165" s="314"/>
      <c r="L165" s="397">
        <f>SUM(L159:L164)</f>
        <v>399017.431955465</v>
      </c>
      <c r="M165" s="332"/>
      <c r="N165" s="350"/>
      <c r="O165" s="314"/>
    </row>
    <row r="166" spans="2:15" ht="15.75" thickBot="1">
      <c r="B166" s="316"/>
      <c r="C166" s="317"/>
      <c r="D166" s="353"/>
      <c r="E166" s="332"/>
      <c r="F166" s="332"/>
      <c r="G166" s="386"/>
      <c r="H166" s="332"/>
      <c r="I166" s="345"/>
      <c r="J166" s="398"/>
      <c r="K166" s="314"/>
      <c r="L166" s="407"/>
      <c r="M166" s="332"/>
      <c r="N166" s="332"/>
      <c r="O166" s="314"/>
    </row>
    <row r="167" spans="2:15">
      <c r="B167" s="316">
        <f>+B165+1</f>
        <v>94</v>
      </c>
      <c r="C167" s="342"/>
      <c r="D167" s="353" t="s">
        <v>414</v>
      </c>
      <c r="E167" s="332" t="str">
        <f>"(ln "&amp;B149&amp;" + ln "&amp;B165&amp;")"</f>
        <v>(ln 78 + ln 93)</v>
      </c>
      <c r="F167" s="332"/>
      <c r="G167" s="350">
        <f>+G149+G165</f>
        <v>11817920.34160788</v>
      </c>
      <c r="H167" s="350"/>
      <c r="I167" s="336"/>
      <c r="J167" s="332"/>
      <c r="K167" s="332"/>
      <c r="L167" s="350">
        <f>L149+L165</f>
        <v>1632248.4043361498</v>
      </c>
      <c r="M167" s="332"/>
      <c r="N167" s="332"/>
      <c r="O167" s="314"/>
    </row>
    <row r="168" spans="2:15" ht="15.75" thickBot="1">
      <c r="B168" s="316">
        <f>+B167+1</f>
        <v>95</v>
      </c>
      <c r="C168" s="342"/>
      <c r="D168" s="353" t="s">
        <v>485</v>
      </c>
      <c r="E168" s="353"/>
      <c r="F168" s="332"/>
      <c r="G168" s="827">
        <v>0</v>
      </c>
      <c r="H168" s="350"/>
      <c r="I168" s="345" t="s">
        <v>129</v>
      </c>
      <c r="J168" s="337">
        <v>1</v>
      </c>
      <c r="K168" s="332"/>
      <c r="L168" s="407">
        <f>J168*G168</f>
        <v>0</v>
      </c>
      <c r="M168" s="332"/>
      <c r="N168" s="332"/>
      <c r="O168" s="314"/>
    </row>
    <row r="169" spans="2:15">
      <c r="B169" s="316">
        <f>+B168+1</f>
        <v>96</v>
      </c>
      <c r="C169" s="317"/>
      <c r="D169" s="353" t="s">
        <v>110</v>
      </c>
      <c r="E169" s="332" t="str">
        <f>"(ln "&amp;B167&amp;" + ln "&amp;B168&amp;")"</f>
        <v>(ln 94 + ln 95)</v>
      </c>
      <c r="F169" s="332"/>
      <c r="G169" s="350">
        <f>+G167+G168</f>
        <v>11817920.34160788</v>
      </c>
      <c r="H169" s="350"/>
      <c r="I169" s="336"/>
      <c r="J169" s="332"/>
      <c r="K169" s="332"/>
      <c r="L169" s="350">
        <f>+L167+L168</f>
        <v>1632248.4043361498</v>
      </c>
      <c r="M169" s="332"/>
      <c r="N169" s="332"/>
      <c r="O169" s="314"/>
    </row>
    <row r="170" spans="2:15">
      <c r="B170" s="316"/>
      <c r="C170" s="317"/>
      <c r="D170" s="353"/>
      <c r="E170" s="314"/>
      <c r="F170" s="314"/>
      <c r="G170" s="397"/>
      <c r="H170" s="332"/>
      <c r="I170" s="314"/>
      <c r="J170" s="314"/>
      <c r="K170" s="314"/>
      <c r="L170" s="397"/>
      <c r="M170" s="332"/>
      <c r="N170" s="332"/>
      <c r="O170" s="314"/>
    </row>
    <row r="171" spans="2:15">
      <c r="B171" s="316">
        <f>+B169+1</f>
        <v>97</v>
      </c>
      <c r="C171" s="317"/>
      <c r="D171" s="378" t="s">
        <v>113</v>
      </c>
      <c r="E171" s="336"/>
      <c r="F171" s="336"/>
      <c r="G171" s="397"/>
      <c r="H171" s="332"/>
      <c r="I171" s="345"/>
      <c r="J171" s="314"/>
      <c r="K171" s="314"/>
      <c r="L171" s="397"/>
      <c r="M171" s="332"/>
      <c r="N171" s="332"/>
      <c r="O171" s="314"/>
    </row>
    <row r="172" spans="2:15">
      <c r="B172" s="316">
        <f t="shared" ref="B172:B177" si="8">+B171+1</f>
        <v>98</v>
      </c>
      <c r="C172" s="317"/>
      <c r="D172" s="308" t="s">
        <v>126</v>
      </c>
      <c r="E172" s="331" t="s">
        <v>424</v>
      </c>
      <c r="F172" s="336"/>
      <c r="G172" s="826">
        <v>29406411</v>
      </c>
      <c r="H172" s="332"/>
      <c r="I172" s="345" t="s">
        <v>127</v>
      </c>
      <c r="J172" s="337">
        <v>0</v>
      </c>
      <c r="K172" s="314"/>
      <c r="L172" s="350">
        <f>+G172*J172</f>
        <v>0</v>
      </c>
      <c r="M172" s="332"/>
      <c r="N172" s="332"/>
      <c r="O172" s="314"/>
    </row>
    <row r="173" spans="2:15">
      <c r="B173" s="316">
        <f t="shared" si="8"/>
        <v>99</v>
      </c>
      <c r="C173" s="317"/>
      <c r="D173" s="353" t="s">
        <v>130</v>
      </c>
      <c r="E173" s="331" t="s">
        <v>423</v>
      </c>
      <c r="F173" s="336"/>
      <c r="G173" s="826">
        <v>9459212</v>
      </c>
      <c r="H173" s="332"/>
      <c r="I173" s="345" t="s">
        <v>127</v>
      </c>
      <c r="J173" s="337">
        <v>0</v>
      </c>
      <c r="K173" s="314"/>
      <c r="L173" s="350">
        <f>+G173*J173</f>
        <v>0</v>
      </c>
      <c r="M173" s="332"/>
      <c r="N173" s="332"/>
      <c r="O173" s="314"/>
    </row>
    <row r="174" spans="2:15">
      <c r="B174" s="316">
        <f t="shared" si="8"/>
        <v>100</v>
      </c>
      <c r="C174" s="317"/>
      <c r="D174" s="380" t="str">
        <f>+D144</f>
        <v xml:space="preserve">  Transmission </v>
      </c>
      <c r="E174" s="331" t="s">
        <v>419</v>
      </c>
      <c r="F174" s="426"/>
      <c r="G174" s="826">
        <v>3400294</v>
      </c>
      <c r="H174" s="427"/>
      <c r="I174" s="428" t="s">
        <v>26</v>
      </c>
      <c r="J174" s="337">
        <f>J80</f>
        <v>0.82400831971948663</v>
      </c>
      <c r="K174" s="429"/>
      <c r="L174" s="430">
        <f>J174*G174</f>
        <v>2801870.5454922519</v>
      </c>
      <c r="M174" s="383"/>
      <c r="N174" s="332"/>
      <c r="O174" s="314"/>
    </row>
    <row r="175" spans="2:15">
      <c r="B175" s="316">
        <f>+B174+1</f>
        <v>101</v>
      </c>
      <c r="C175" s="317"/>
      <c r="D175" s="378" t="s">
        <v>136</v>
      </c>
      <c r="E175" s="426" t="s">
        <v>420</v>
      </c>
      <c r="F175" s="314"/>
      <c r="G175" s="826">
        <v>428924</v>
      </c>
      <c r="H175" s="350"/>
      <c r="I175" s="345" t="s">
        <v>132</v>
      </c>
      <c r="J175" s="337">
        <f>L241</f>
        <v>2.8842754279883847E-2</v>
      </c>
      <c r="K175" s="314"/>
      <c r="L175" s="397">
        <f>+J175*G175</f>
        <v>12371.3495367449</v>
      </c>
      <c r="M175" s="332"/>
      <c r="N175" s="332"/>
      <c r="O175" s="314"/>
    </row>
    <row r="176" spans="2:15" ht="15.75" thickBot="1">
      <c r="B176" s="316">
        <f t="shared" si="8"/>
        <v>102</v>
      </c>
      <c r="C176" s="317"/>
      <c r="D176" s="378" t="s">
        <v>137</v>
      </c>
      <c r="E176" s="381" t="s">
        <v>421</v>
      </c>
      <c r="F176" s="332"/>
      <c r="G176" s="827">
        <v>1312588</v>
      </c>
      <c r="H176" s="350"/>
      <c r="I176" s="345" t="s">
        <v>132</v>
      </c>
      <c r="J176" s="337">
        <f>L241</f>
        <v>2.8842754279883847E-2</v>
      </c>
      <c r="K176" s="314"/>
      <c r="L176" s="407">
        <f>+J176*G176</f>
        <v>37858.653154724176</v>
      </c>
      <c r="M176" s="332"/>
      <c r="N176" s="332"/>
      <c r="O176" s="314"/>
    </row>
    <row r="177" spans="2:15">
      <c r="B177" s="316">
        <f t="shared" si="8"/>
        <v>103</v>
      </c>
      <c r="C177" s="317"/>
      <c r="D177" s="378" t="s">
        <v>301</v>
      </c>
      <c r="E177" s="1536" t="str">
        <f>"(Ln "&amp;B172&amp;"+"&amp;B173&amp;"+
"&amp;B174&amp;"+"&amp;B175&amp;"+"&amp;B176&amp;")"</f>
        <v>(Ln 98+99+
100+101+102)</v>
      </c>
      <c r="F177" s="314"/>
      <c r="G177" s="350">
        <f>+G172+G173+G174+G175+G176</f>
        <v>44007429</v>
      </c>
      <c r="H177" s="332"/>
      <c r="I177" s="345"/>
      <c r="J177" s="314"/>
      <c r="K177" s="314"/>
      <c r="L177" s="350">
        <f>+L172+L173+L174+L175+L176</f>
        <v>2852100.548183721</v>
      </c>
      <c r="M177" s="332"/>
      <c r="N177" s="332"/>
      <c r="O177" s="314"/>
    </row>
    <row r="178" spans="2:15">
      <c r="B178" s="316"/>
      <c r="C178" s="317"/>
      <c r="D178" s="378"/>
      <c r="E178" s="1537"/>
      <c r="F178" s="314"/>
      <c r="G178" s="397"/>
      <c r="H178" s="332"/>
      <c r="I178" s="345"/>
      <c r="J178" s="314"/>
      <c r="K178" s="314"/>
      <c r="L178" s="397"/>
      <c r="M178" s="332"/>
      <c r="N178" s="332"/>
      <c r="O178" s="314"/>
    </row>
    <row r="179" spans="2:15">
      <c r="B179" s="316">
        <f>+B177+1</f>
        <v>104</v>
      </c>
      <c r="C179" s="317"/>
      <c r="D179" s="378" t="s">
        <v>32</v>
      </c>
      <c r="E179" s="307" t="s">
        <v>422</v>
      </c>
      <c r="G179" s="397"/>
      <c r="H179" s="332"/>
      <c r="I179" s="345"/>
      <c r="J179" s="314"/>
      <c r="K179" s="314"/>
      <c r="L179" s="397"/>
      <c r="M179" s="332"/>
      <c r="N179" s="410"/>
      <c r="O179" s="314"/>
    </row>
    <row r="180" spans="2:15">
      <c r="B180" s="316">
        <f t="shared" ref="B180:B185" si="9">+B179+1</f>
        <v>105</v>
      </c>
      <c r="C180" s="317"/>
      <c r="D180" s="378" t="s">
        <v>138</v>
      </c>
      <c r="G180" s="397"/>
      <c r="H180" s="332"/>
      <c r="I180" s="345"/>
      <c r="K180" s="314"/>
      <c r="L180" s="397"/>
      <c r="M180" s="332"/>
      <c r="N180" s="332"/>
      <c r="O180" s="314"/>
    </row>
    <row r="181" spans="2:15">
      <c r="B181" s="316">
        <f t="shared" si="9"/>
        <v>106</v>
      </c>
      <c r="C181" s="317"/>
      <c r="D181" s="378" t="s">
        <v>139</v>
      </c>
      <c r="E181" s="332" t="str">
        <f>"Worksheet H ln "&amp;'WS H Other Taxes'!A41&amp;"."&amp;'WS H Other Taxes'!I10&amp;""</f>
        <v>Worksheet H ln 22.(D)</v>
      </c>
      <c r="F181" s="314"/>
      <c r="G181" s="350">
        <f>+'WS H Other Taxes'!I41</f>
        <v>872029</v>
      </c>
      <c r="H181" s="350"/>
      <c r="I181" s="345" t="s">
        <v>132</v>
      </c>
      <c r="J181" s="337">
        <f>L241</f>
        <v>2.8842754279883847E-2</v>
      </c>
      <c r="K181" s="314"/>
      <c r="L181" s="397">
        <f>+J181*G181</f>
        <v>25151.718171932833</v>
      </c>
      <c r="M181" s="402"/>
      <c r="N181" s="332"/>
      <c r="O181" s="314"/>
    </row>
    <row r="182" spans="2:15">
      <c r="B182" s="316">
        <f t="shared" si="9"/>
        <v>107</v>
      </c>
      <c r="C182" s="317"/>
      <c r="D182" s="378" t="s">
        <v>140</v>
      </c>
      <c r="E182" s="332" t="s">
        <v>114</v>
      </c>
      <c r="F182" s="314"/>
      <c r="G182" s="350"/>
      <c r="H182" s="350"/>
      <c r="I182" s="345"/>
      <c r="K182" s="314"/>
      <c r="L182" s="397"/>
      <c r="M182" s="332"/>
      <c r="N182" s="332"/>
      <c r="O182" s="314"/>
    </row>
    <row r="183" spans="2:15">
      <c r="B183" s="316">
        <f t="shared" si="9"/>
        <v>108</v>
      </c>
      <c r="C183" s="342"/>
      <c r="D183" s="385" t="s">
        <v>141</v>
      </c>
      <c r="E183" s="332" t="str">
        <f>"Worksheet H ln "&amp;'WS H Other Taxes'!A41&amp;"."&amp;'WS H Other Taxes'!G10&amp;""</f>
        <v>Worksheet H ln 22.(C)</v>
      </c>
      <c r="F183" s="332"/>
      <c r="G183" s="350">
        <f>+'WS H Other Taxes'!G41</f>
        <v>5982973</v>
      </c>
      <c r="H183" s="350"/>
      <c r="I183" s="336" t="s">
        <v>129</v>
      </c>
      <c r="J183" s="337"/>
      <c r="K183" s="332"/>
      <c r="L183" s="410">
        <f>'WS H-1-Detail of Tax Amts'!I25</f>
        <v>1766921.4771488551</v>
      </c>
      <c r="M183" s="431"/>
      <c r="N183" s="410"/>
      <c r="O183" s="332"/>
    </row>
    <row r="184" spans="2:15">
      <c r="B184" s="316">
        <f t="shared" si="9"/>
        <v>109</v>
      </c>
      <c r="C184" s="317"/>
      <c r="D184" s="378" t="s">
        <v>200</v>
      </c>
      <c r="E184" s="332" t="str">
        <f>"Worksheet H ln "&amp;'WS H Other Taxes'!A41&amp;"."&amp;'WS H Other Taxes'!M10&amp;""</f>
        <v>Worksheet H ln 22.(F)</v>
      </c>
      <c r="F184" s="314"/>
      <c r="G184" s="350">
        <f>+'WS H Other Taxes'!M41</f>
        <v>14247945</v>
      </c>
      <c r="H184" s="403"/>
      <c r="I184" s="345" t="s">
        <v>127</v>
      </c>
      <c r="J184" s="337">
        <v>0</v>
      </c>
      <c r="K184" s="314"/>
      <c r="L184" s="397">
        <f>+J184*G184</f>
        <v>0</v>
      </c>
      <c r="M184" s="332"/>
      <c r="N184" s="332"/>
      <c r="O184" s="314"/>
    </row>
    <row r="185" spans="2:15" ht="15.75" thickBot="1">
      <c r="B185" s="316">
        <f t="shared" si="9"/>
        <v>110</v>
      </c>
      <c r="C185" s="317"/>
      <c r="D185" s="378" t="s">
        <v>142</v>
      </c>
      <c r="E185" s="332" t="str">
        <f>"Worksheet H ln "&amp;'WS H Other Taxes'!A41&amp;"."&amp;'WS H Other Taxes'!K10&amp;""</f>
        <v>Worksheet H ln 22.(E)</v>
      </c>
      <c r="F185" s="314"/>
      <c r="G185" s="386">
        <f>+'WS H Other Taxes'!K41</f>
        <v>0</v>
      </c>
      <c r="H185" s="403"/>
      <c r="I185" s="345" t="s">
        <v>751</v>
      </c>
      <c r="J185" s="337">
        <f>J75</f>
        <v>0.10448236247970734</v>
      </c>
      <c r="K185" s="314"/>
      <c r="L185" s="407">
        <f>+J185*G185</f>
        <v>0</v>
      </c>
      <c r="M185" s="332"/>
      <c r="N185" s="332"/>
      <c r="O185" s="314"/>
    </row>
    <row r="186" spans="2:15">
      <c r="B186" s="316">
        <f>+B185+1</f>
        <v>111</v>
      </c>
      <c r="C186" s="317"/>
      <c r="D186" s="378" t="s">
        <v>33</v>
      </c>
      <c r="E186" s="344" t="str">
        <f>"(sum lns "&amp;B181&amp;" to "&amp;B185&amp;")"</f>
        <v>(sum lns 106 to 110)</v>
      </c>
      <c r="F186" s="314"/>
      <c r="G186" s="350">
        <f>SUM(G181:G185)</f>
        <v>21102947</v>
      </c>
      <c r="H186" s="332"/>
      <c r="I186" s="345"/>
      <c r="J186" s="432"/>
      <c r="K186" s="314"/>
      <c r="L186" s="397">
        <f>SUM(L181:L185)</f>
        <v>1792073.1953207878</v>
      </c>
      <c r="M186" s="332"/>
      <c r="N186" s="332"/>
      <c r="O186" s="314"/>
    </row>
    <row r="187" spans="2:15">
      <c r="B187" s="316"/>
      <c r="C187" s="317"/>
      <c r="D187" s="378"/>
      <c r="E187" s="314"/>
      <c r="F187" s="314"/>
      <c r="G187" s="314"/>
      <c r="H187" s="332"/>
      <c r="I187" s="345"/>
      <c r="J187" s="432"/>
      <c r="K187" s="314"/>
      <c r="L187" s="314"/>
      <c r="M187" s="400"/>
      <c r="N187" s="332"/>
      <c r="O187" s="314"/>
    </row>
    <row r="188" spans="2:15">
      <c r="B188" s="316">
        <f>+B186+1</f>
        <v>112</v>
      </c>
      <c r="C188" s="317"/>
      <c r="D188" s="378" t="s">
        <v>337</v>
      </c>
      <c r="E188" s="332" t="s">
        <v>425</v>
      </c>
      <c r="F188" s="433"/>
      <c r="G188" s="314"/>
      <c r="H188" s="357"/>
      <c r="I188" s="411"/>
      <c r="K188" s="314"/>
      <c r="L188" s="434"/>
      <c r="M188" s="332"/>
      <c r="N188" s="332"/>
      <c r="O188" s="314"/>
    </row>
    <row r="189" spans="2:15">
      <c r="B189" s="316">
        <f t="shared" ref="B189:B196" si="10">+B188+1</f>
        <v>113</v>
      </c>
      <c r="C189" s="317"/>
      <c r="D189" s="435" t="s">
        <v>338</v>
      </c>
      <c r="E189" s="314"/>
      <c r="F189" s="436"/>
      <c r="G189" s="437">
        <f>IF(F339&gt;0,1-(((1-F340)*(1-F339))/(1-F340*F339*F341)),0)</f>
        <v>0.26027639000000002</v>
      </c>
      <c r="H189" s="438"/>
      <c r="I189" s="438"/>
      <c r="K189" s="439"/>
      <c r="L189" s="434"/>
      <c r="M189" s="332"/>
      <c r="N189" s="332"/>
      <c r="O189" s="314"/>
    </row>
    <row r="190" spans="2:15">
      <c r="B190" s="316">
        <f t="shared" si="10"/>
        <v>114</v>
      </c>
      <c r="C190" s="317"/>
      <c r="D190" s="340" t="s">
        <v>339</v>
      </c>
      <c r="E190" s="314"/>
      <c r="F190" s="436"/>
      <c r="G190" s="437">
        <f>IF(L255&gt;0,($G189/(1-$G189))*(1-$L255/$L258),0)</f>
        <v>0.26575399290574281</v>
      </c>
      <c r="H190" s="438"/>
      <c r="I190" s="438"/>
      <c r="K190" s="439"/>
      <c r="L190" s="434"/>
      <c r="M190" s="332"/>
      <c r="N190" s="332"/>
      <c r="O190" s="314"/>
    </row>
    <row r="191" spans="2:15">
      <c r="B191" s="316">
        <f t="shared" si="10"/>
        <v>115</v>
      </c>
      <c r="C191" s="317"/>
      <c r="D191" s="385" t="str">
        <f>"       where WCLTD=(ln "&amp;B255&amp;") and WACC = (ln "&amp;B258&amp;")"</f>
        <v xml:space="preserve">       where WCLTD=(ln 154) and WACC = (ln 157)</v>
      </c>
      <c r="E191" s="332"/>
      <c r="F191" s="440"/>
      <c r="G191" s="314"/>
      <c r="H191" s="438"/>
      <c r="I191" s="438"/>
      <c r="J191" s="441"/>
      <c r="K191" s="439"/>
      <c r="L191" s="442"/>
      <c r="M191" s="332"/>
      <c r="N191" s="332"/>
      <c r="O191" s="314"/>
    </row>
    <row r="192" spans="2:15">
      <c r="B192" s="316">
        <f t="shared" si="10"/>
        <v>116</v>
      </c>
      <c r="C192" s="317"/>
      <c r="D192" s="378" t="s">
        <v>428</v>
      </c>
      <c r="E192" s="443"/>
      <c r="F192" s="436"/>
      <c r="G192" s="314"/>
      <c r="H192" s="357"/>
      <c r="I192" s="411"/>
      <c r="J192" s="441"/>
      <c r="K192" s="439"/>
      <c r="L192" s="434"/>
      <c r="M192" s="332"/>
      <c r="N192" s="332"/>
      <c r="O192" s="314"/>
    </row>
    <row r="193" spans="2:15">
      <c r="B193" s="316">
        <f t="shared" si="10"/>
        <v>117</v>
      </c>
      <c r="C193" s="317"/>
      <c r="D193" s="444" t="str">
        <f>"      GRCF=1 / (1 - T)  = (from ln "&amp;B189&amp;")"</f>
        <v xml:space="preserve">      GRCF=1 / (1 - T)  = (from ln 113)</v>
      </c>
      <c r="E193" s="433"/>
      <c r="F193" s="433"/>
      <c r="G193" s="445">
        <f>IF(G189&gt;0,1/(1-G189),0)</f>
        <v>1.3518562696680725</v>
      </c>
      <c r="H193" s="357"/>
      <c r="I193" s="362"/>
      <c r="J193" s="446"/>
      <c r="K193" s="447"/>
      <c r="L193" s="448"/>
      <c r="M193" s="332"/>
      <c r="N193" s="332"/>
      <c r="O193" s="314"/>
    </row>
    <row r="194" spans="2:15">
      <c r="B194" s="316">
        <f t="shared" si="10"/>
        <v>118</v>
      </c>
      <c r="C194" s="317"/>
      <c r="D194" s="378" t="s">
        <v>340</v>
      </c>
      <c r="E194" s="398" t="s">
        <v>503</v>
      </c>
      <c r="F194" s="433"/>
      <c r="G194" s="826">
        <v>0</v>
      </c>
      <c r="H194" s="357"/>
      <c r="I194" s="362"/>
      <c r="J194" s="449"/>
      <c r="K194" s="447"/>
      <c r="L194" s="434"/>
      <c r="M194" s="336"/>
      <c r="N194" s="332"/>
      <c r="O194" s="314"/>
    </row>
    <row r="195" spans="2:15">
      <c r="B195" s="316">
        <f t="shared" si="10"/>
        <v>119</v>
      </c>
      <c r="C195" s="317"/>
      <c r="D195" s="340" t="s">
        <v>531</v>
      </c>
      <c r="E195" s="332" t="s">
        <v>544</v>
      </c>
      <c r="F195" s="450"/>
      <c r="G195" s="1517">
        <v>-1539868</v>
      </c>
      <c r="H195" s="228"/>
      <c r="I195" s="345" t="s">
        <v>129</v>
      </c>
      <c r="J195" s="449"/>
      <c r="K195" s="1518"/>
      <c r="L195" s="1517">
        <v>-159118</v>
      </c>
      <c r="M195" s="336"/>
      <c r="N195" s="332"/>
      <c r="O195" s="314"/>
    </row>
    <row r="196" spans="2:15">
      <c r="B196" s="316">
        <f t="shared" si="10"/>
        <v>120</v>
      </c>
      <c r="C196" s="317"/>
      <c r="D196" s="466" t="s">
        <v>741</v>
      </c>
      <c r="E196" s="332" t="s">
        <v>544</v>
      </c>
      <c r="F196" s="450"/>
      <c r="G196" s="1517">
        <v>-895031.75</v>
      </c>
      <c r="H196" s="228"/>
      <c r="I196" s="345" t="s">
        <v>129</v>
      </c>
      <c r="J196" s="449"/>
      <c r="K196" s="1518"/>
      <c r="L196" s="1517">
        <v>-22587.320000000007</v>
      </c>
      <c r="M196" s="336"/>
      <c r="N196" s="332"/>
      <c r="O196" s="314"/>
    </row>
    <row r="197" spans="2:15">
      <c r="B197" s="316"/>
      <c r="C197" s="317"/>
      <c r="D197" s="385"/>
      <c r="E197" s="314"/>
      <c r="F197" s="436"/>
      <c r="G197" s="397"/>
      <c r="H197" s="357"/>
      <c r="I197" s="362"/>
      <c r="J197" s="451"/>
      <c r="K197" s="447"/>
      <c r="L197" s="434"/>
      <c r="M197" s="332"/>
      <c r="N197" s="332"/>
      <c r="O197" s="314"/>
    </row>
    <row r="198" spans="2:15">
      <c r="B198" s="316">
        <f>+B196+1</f>
        <v>121</v>
      </c>
      <c r="C198" s="317"/>
      <c r="D198" s="444" t="s">
        <v>341</v>
      </c>
      <c r="E198" s="450" t="str">
        <f>"(ln "&amp;B190&amp;" * ln "&amp;B205&amp;")"</f>
        <v>(ln 114 * ln 126)</v>
      </c>
      <c r="F198" s="452"/>
      <c r="G198" s="397">
        <f>+G190*G205</f>
        <v>12238878.727649277</v>
      </c>
      <c r="H198" s="357"/>
      <c r="I198" s="362"/>
      <c r="J198" s="451"/>
      <c r="K198" s="397"/>
      <c r="L198" s="397">
        <f>+L205*G190</f>
        <v>1893634.9056314318</v>
      </c>
      <c r="M198" s="332"/>
      <c r="N198" s="332"/>
      <c r="O198" s="314"/>
    </row>
    <row r="199" spans="2:15">
      <c r="B199" s="316">
        <f>+B198+1</f>
        <v>122</v>
      </c>
      <c r="C199" s="317"/>
      <c r="D199" s="466" t="s">
        <v>342</v>
      </c>
      <c r="E199" s="450" t="str">
        <f>"(ln "&amp;B193&amp;" * ln "&amp;B194&amp;")"</f>
        <v>(ln 117 * ln 118)</v>
      </c>
      <c r="F199" s="450"/>
      <c r="G199" s="425">
        <f>G193*G194</f>
        <v>0</v>
      </c>
      <c r="H199" s="357"/>
      <c r="I199" s="336" t="s">
        <v>751</v>
      </c>
      <c r="J199" s="337">
        <f>J75</f>
        <v>0.10448236247970734</v>
      </c>
      <c r="K199" s="397"/>
      <c r="L199" s="425">
        <f>+G199*J199</f>
        <v>0</v>
      </c>
      <c r="M199" s="332"/>
      <c r="N199" s="332"/>
      <c r="O199" s="314"/>
    </row>
    <row r="200" spans="2:15">
      <c r="B200" s="316">
        <f>B199+1</f>
        <v>123</v>
      </c>
      <c r="C200" s="317"/>
      <c r="D200" s="466" t="s">
        <v>531</v>
      </c>
      <c r="E200" s="450" t="str">
        <f>"(ln "&amp;B193&amp;" * ln "&amp;B195&amp;")"</f>
        <v>(ln 117 * ln 119)</v>
      </c>
      <c r="F200" s="450"/>
      <c r="G200" s="425">
        <f>G195*G193</f>
        <v>-2081680.2102612355</v>
      </c>
      <c r="H200" s="357"/>
      <c r="I200" s="453"/>
      <c r="J200" s="337"/>
      <c r="K200" s="397"/>
      <c r="L200" s="425">
        <f>L195*G193</f>
        <v>-215104.66591704436</v>
      </c>
      <c r="M200" s="332"/>
      <c r="N200" s="332"/>
      <c r="O200" s="314"/>
    </row>
    <row r="201" spans="2:15">
      <c r="B201" s="316">
        <f>B200+1</f>
        <v>124</v>
      </c>
      <c r="C201" s="317"/>
      <c r="D201" s="466" t="s">
        <v>741</v>
      </c>
      <c r="E201" s="450" t="str">
        <f>"(ln "&amp;B193&amp;" * ln "&amp;B196&amp;")"</f>
        <v>(ln 117 * ln 120)</v>
      </c>
      <c r="F201" s="450"/>
      <c r="G201" s="454">
        <f>G196*G193</f>
        <v>-1209954.2827894869</v>
      </c>
      <c r="H201" s="357"/>
      <c r="I201" s="453"/>
      <c r="J201" s="337"/>
      <c r="K201" s="397"/>
      <c r="L201" s="454">
        <f>L196*G193</f>
        <v>-30534.810156999058</v>
      </c>
      <c r="M201" s="332"/>
      <c r="N201" s="332"/>
      <c r="O201" s="314"/>
    </row>
    <row r="202" spans="2:15">
      <c r="B202" s="316"/>
      <c r="C202" s="317"/>
      <c r="D202" s="340"/>
      <c r="E202" s="450"/>
      <c r="F202" s="450"/>
      <c r="G202" s="425"/>
      <c r="H202" s="357"/>
      <c r="I202" s="453"/>
      <c r="J202" s="337"/>
      <c r="K202" s="397"/>
      <c r="L202" s="425"/>
      <c r="M202" s="332"/>
      <c r="N202" s="332"/>
      <c r="O202" s="314"/>
    </row>
    <row r="203" spans="2:15">
      <c r="B203" s="316">
        <f>+B201+1</f>
        <v>125</v>
      </c>
      <c r="C203" s="317"/>
      <c r="D203" s="435" t="s">
        <v>35</v>
      </c>
      <c r="E203" s="314" t="str">
        <f>"(sum lns "&amp;B198&amp;" to "&amp;B201&amp;")"</f>
        <v>(sum lns 121 to 124)</v>
      </c>
      <c r="F203" s="450"/>
      <c r="G203" s="364">
        <f>SUM(G198:G201)</f>
        <v>8947244.2345985547</v>
      </c>
      <c r="H203" s="357"/>
      <c r="I203" s="362" t="s">
        <v>114</v>
      </c>
      <c r="J203" s="455"/>
      <c r="K203" s="397"/>
      <c r="L203" s="364">
        <f>SUM(L198:L201)</f>
        <v>1647995.4295573884</v>
      </c>
      <c r="M203" s="332"/>
      <c r="N203" s="332"/>
      <c r="O203" s="314"/>
    </row>
    <row r="204" spans="2:15">
      <c r="B204" s="316"/>
      <c r="C204" s="317"/>
      <c r="D204" s="378"/>
      <c r="E204" s="314"/>
      <c r="F204" s="314"/>
      <c r="G204" s="314"/>
      <c r="H204" s="332"/>
      <c r="I204" s="345"/>
      <c r="J204" s="432"/>
      <c r="K204" s="314"/>
      <c r="L204" s="314"/>
      <c r="M204" s="332"/>
      <c r="N204" s="332"/>
      <c r="O204" s="314"/>
    </row>
    <row r="205" spans="2:15">
      <c r="B205" s="316">
        <f>+B203+1</f>
        <v>126</v>
      </c>
      <c r="C205" s="317"/>
      <c r="D205" s="444" t="s">
        <v>199</v>
      </c>
      <c r="E205" s="444" t="str">
        <f>"(ln "&amp;B125&amp;" * ln "&amp;B258&amp;")"</f>
        <v>(ln 68 * ln 157)</v>
      </c>
      <c r="F205" s="408"/>
      <c r="G205" s="397">
        <f>+$L258*G125</f>
        <v>46053414.264184333</v>
      </c>
      <c r="H205" s="332"/>
      <c r="I205" s="362"/>
      <c r="J205" s="397"/>
      <c r="K205" s="397"/>
      <c r="L205" s="397">
        <f>+L258*L125</f>
        <v>7125518.1716237208</v>
      </c>
      <c r="M205" s="332"/>
      <c r="N205" s="456"/>
      <c r="O205" s="434"/>
    </row>
    <row r="206" spans="2:15">
      <c r="B206" s="316"/>
      <c r="C206" s="317"/>
      <c r="D206" s="435"/>
      <c r="G206" s="397"/>
      <c r="H206" s="397"/>
      <c r="I206" s="362"/>
      <c r="J206" s="362"/>
      <c r="K206" s="397"/>
      <c r="L206" s="397"/>
      <c r="M206" s="332"/>
      <c r="N206" s="307"/>
    </row>
    <row r="207" spans="2:15">
      <c r="B207" s="316">
        <f>+B205+1</f>
        <v>127</v>
      </c>
      <c r="C207" s="317"/>
      <c r="D207" s="457" t="s">
        <v>99</v>
      </c>
      <c r="F207" s="426"/>
      <c r="G207" s="350">
        <f>-'WS D IPP Credits'!C13</f>
        <v>0</v>
      </c>
      <c r="H207" s="350"/>
      <c r="I207" s="406" t="s">
        <v>129</v>
      </c>
      <c r="J207" s="337">
        <v>1</v>
      </c>
      <c r="K207" s="430"/>
      <c r="L207" s="397">
        <f>+J207*G207</f>
        <v>0</v>
      </c>
      <c r="M207" s="383"/>
      <c r="N207" s="307"/>
    </row>
    <row r="208" spans="2:15">
      <c r="B208" s="316"/>
      <c r="C208" s="317"/>
      <c r="D208" s="457"/>
      <c r="F208" s="426"/>
      <c r="G208" s="350"/>
      <c r="H208" s="350"/>
      <c r="I208" s="406"/>
      <c r="J208" s="337"/>
      <c r="K208" s="430"/>
      <c r="L208" s="397"/>
      <c r="M208" s="383"/>
      <c r="N208" s="307"/>
    </row>
    <row r="209" spans="2:15">
      <c r="B209" s="316">
        <f>+B207+1</f>
        <v>128</v>
      </c>
      <c r="C209" s="317"/>
      <c r="D209" s="457" t="str">
        <f>"(Gains) / Losses on Sales of Plant Held for Future Use (Worksheet N, ln "&amp;'WS N - Sale of Plant Held'!A33&amp;", Cols. ("&amp;'WS N - Sale of Plant Held'!O12&amp;" &amp; "&amp;'WS N - Sale of Plant Held'!S12&amp;")"</f>
        <v>(Gains) / Losses on Sales of Plant Held for Future Use (Worksheet N, ln 4, Cols. ((F) &amp; (H))</v>
      </c>
      <c r="E209" s="307"/>
      <c r="F209" s="381"/>
      <c r="G209" s="350">
        <f>+'WS N - Sale of Plant Held'!O33</f>
        <v>0</v>
      </c>
      <c r="H209" s="350"/>
      <c r="I209" s="458"/>
      <c r="J209" s="337"/>
      <c r="K209" s="384"/>
      <c r="L209" s="350">
        <f>'WS N - Sale of Plant Held'!S33</f>
        <v>0</v>
      </c>
      <c r="M209" s="383"/>
      <c r="N209" s="307"/>
    </row>
    <row r="210" spans="2:15">
      <c r="B210" s="316"/>
      <c r="C210" s="317"/>
      <c r="D210" s="457"/>
      <c r="E210" s="307"/>
      <c r="F210" s="381"/>
      <c r="G210" s="350"/>
      <c r="H210" s="350"/>
      <c r="I210" s="458"/>
      <c r="J210" s="337"/>
      <c r="K210" s="384"/>
      <c r="L210" s="350"/>
      <c r="M210" s="383"/>
      <c r="N210" s="307"/>
    </row>
    <row r="211" spans="2:15">
      <c r="B211" s="316">
        <f>+B209+1</f>
        <v>129</v>
      </c>
      <c r="C211" s="317"/>
      <c r="D211" s="457" t="str">
        <f>" Tax Impact on Net Loss / (Gain) on Sales of Plant Held for Future Use (ln "&amp;B209&amp;" * ln"&amp;B190&amp;")"</f>
        <v xml:space="preserve"> Tax Impact on Net Loss / (Gain) on Sales of Plant Held for Future Use (ln 128 * ln114)</v>
      </c>
      <c r="E211" s="307"/>
      <c r="F211" s="381"/>
      <c r="G211" s="350">
        <f>-+G190*G209</f>
        <v>0</v>
      </c>
      <c r="H211" s="350"/>
      <c r="I211" s="458"/>
      <c r="J211" s="337"/>
      <c r="K211" s="384"/>
      <c r="L211" s="350">
        <f>L209*-G190</f>
        <v>0</v>
      </c>
      <c r="M211" s="383"/>
      <c r="N211" s="307"/>
    </row>
    <row r="212" spans="2:15" ht="15.75" thickBot="1">
      <c r="B212" s="316"/>
      <c r="C212" s="317"/>
      <c r="D212" s="378"/>
      <c r="G212" s="407"/>
      <c r="H212" s="459"/>
      <c r="I212" s="362"/>
      <c r="J212" s="362"/>
      <c r="K212" s="397"/>
      <c r="L212" s="407"/>
      <c r="M212" s="332"/>
      <c r="N212" s="307"/>
    </row>
    <row r="213" spans="2:15" ht="15.75" thickBot="1">
      <c r="B213" s="316">
        <f>+B211+1</f>
        <v>130</v>
      </c>
      <c r="C213" s="317"/>
      <c r="D213" s="302" t="s">
        <v>249</v>
      </c>
      <c r="G213" s="460">
        <f>+G207+G205+G203+G186+G177+G169+G209+G211</f>
        <v>131928954.84039077</v>
      </c>
      <c r="L213" s="460">
        <f>+L207+L205+L203+L186+L177+L169+L209+L211</f>
        <v>15049935.749021769</v>
      </c>
      <c r="M213" s="332"/>
      <c r="N213" s="307"/>
    </row>
    <row r="214" spans="2:15" ht="15.75" thickTop="1">
      <c r="B214" s="316"/>
      <c r="C214" s="317"/>
      <c r="D214" s="308" t="str">
        <f>"    (sum lns "&amp;B169&amp;", "&amp;B177&amp;", "&amp;B186&amp;", "&amp;B203&amp;", "&amp;B205&amp;", "&amp;B207&amp;", "&amp;B209&amp;", "&amp;B211&amp;")"</f>
        <v xml:space="preserve">    (sum lns 96, 103, 111, 125, 126, 127, 128, 129)</v>
      </c>
      <c r="F214" s="461"/>
      <c r="M214" s="332"/>
      <c r="N214" s="307"/>
    </row>
    <row r="215" spans="2:15">
      <c r="B215" s="316"/>
      <c r="C215" s="317"/>
      <c r="F215" s="461"/>
      <c r="M215" s="332"/>
      <c r="N215" s="307"/>
    </row>
    <row r="216" spans="2:15">
      <c r="B216" s="316"/>
      <c r="C216" s="317"/>
      <c r="D216" s="308"/>
      <c r="F216" s="411" t="str">
        <f>F128</f>
        <v xml:space="preserve">AEP East Companies </v>
      </c>
      <c r="M216" s="410"/>
      <c r="N216" s="307"/>
    </row>
    <row r="217" spans="2:15">
      <c r="B217" s="316"/>
      <c r="C217" s="317"/>
      <c r="D217" s="308"/>
      <c r="F217" s="411" t="str">
        <f>F129</f>
        <v>Transmission Cost of Service Formula Rate</v>
      </c>
      <c r="M217" s="410"/>
      <c r="N217" s="307"/>
    </row>
    <row r="218" spans="2:15">
      <c r="B218" s="302"/>
      <c r="C218" s="317"/>
      <c r="F218" s="411" t="str">
        <f>F130</f>
        <v>Utilizing  Actual/Projected FERC Form 1 Data</v>
      </c>
      <c r="M218" s="367"/>
      <c r="N218" s="307"/>
    </row>
    <row r="219" spans="2:15">
      <c r="B219" s="316"/>
      <c r="C219" s="317"/>
      <c r="E219" s="411"/>
      <c r="F219" s="411"/>
      <c r="G219" s="411"/>
      <c r="H219" s="411"/>
      <c r="I219" s="411"/>
      <c r="J219" s="411"/>
      <c r="K219" s="411"/>
      <c r="M219" s="332"/>
      <c r="N219" s="307"/>
    </row>
    <row r="220" spans="2:15">
      <c r="B220" s="316"/>
      <c r="C220" s="317"/>
      <c r="E220" s="308"/>
      <c r="F220" s="411" t="str">
        <f>F132</f>
        <v>WHEELING POWER COMPANY</v>
      </c>
      <c r="G220" s="308"/>
      <c r="H220" s="308"/>
      <c r="I220" s="308"/>
      <c r="J220" s="308"/>
      <c r="K220" s="308"/>
      <c r="L220" s="308"/>
      <c r="M220" s="353"/>
      <c r="N220" s="307"/>
    </row>
    <row r="221" spans="2:15">
      <c r="B221" s="316"/>
      <c r="C221" s="317"/>
      <c r="E221" s="308"/>
      <c r="F221" s="411"/>
      <c r="G221" s="308"/>
      <c r="H221" s="308"/>
      <c r="I221" s="308"/>
      <c r="J221" s="308"/>
      <c r="K221" s="308"/>
      <c r="L221" s="308"/>
      <c r="M221" s="353"/>
      <c r="N221" s="307"/>
    </row>
    <row r="222" spans="2:15" ht="15.75">
      <c r="B222" s="316"/>
      <c r="C222" s="317"/>
      <c r="F222" s="417" t="s">
        <v>40</v>
      </c>
      <c r="H222" s="311"/>
      <c r="I222" s="311"/>
      <c r="J222" s="311"/>
      <c r="K222" s="311"/>
      <c r="L222" s="311"/>
      <c r="M222" s="332"/>
      <c r="N222" s="307"/>
    </row>
    <row r="223" spans="2:15" ht="15.75">
      <c r="B223" s="316"/>
      <c r="C223" s="317"/>
      <c r="D223" s="462"/>
      <c r="E223" s="311"/>
      <c r="F223" s="311"/>
      <c r="G223" s="311"/>
      <c r="H223" s="311"/>
      <c r="I223" s="311"/>
      <c r="J223" s="311"/>
      <c r="K223" s="311"/>
      <c r="L223" s="311"/>
      <c r="M223" s="332"/>
      <c r="N223" s="307"/>
    </row>
    <row r="224" spans="2:15" ht="15.75">
      <c r="B224" s="316" t="s">
        <v>116</v>
      </c>
      <c r="C224" s="317"/>
      <c r="D224" s="462"/>
      <c r="E224" s="311"/>
      <c r="F224" s="311"/>
      <c r="G224" s="311"/>
      <c r="H224" s="311"/>
      <c r="I224" s="311"/>
      <c r="J224" s="311"/>
      <c r="K224" s="311"/>
      <c r="L224" s="311"/>
      <c r="M224" s="332"/>
      <c r="N224" s="307"/>
      <c r="O224" s="307"/>
    </row>
    <row r="225" spans="2:16" ht="15.75" thickBot="1">
      <c r="B225" s="323" t="s">
        <v>117</v>
      </c>
      <c r="C225" s="324"/>
      <c r="D225" s="353" t="s">
        <v>221</v>
      </c>
      <c r="E225" s="327"/>
      <c r="F225" s="327"/>
      <c r="G225" s="327"/>
      <c r="H225" s="327"/>
      <c r="I225" s="327"/>
      <c r="J225" s="327"/>
      <c r="K225" s="307"/>
      <c r="M225" s="332"/>
      <c r="N225" s="307"/>
      <c r="O225" s="307"/>
      <c r="P225" s="319"/>
    </row>
    <row r="226" spans="2:16">
      <c r="B226" s="316">
        <f>+B213+1</f>
        <v>131</v>
      </c>
      <c r="C226" s="317"/>
      <c r="D226" s="327" t="s">
        <v>166</v>
      </c>
      <c r="E226" s="463" t="str">
        <f>"(ln "&amp;B68&amp;")"</f>
        <v>(ln 21)</v>
      </c>
      <c r="F226" s="464"/>
      <c r="H226" s="465"/>
      <c r="I226" s="465"/>
      <c r="J226" s="465"/>
      <c r="K226" s="465"/>
      <c r="L226" s="335">
        <f>+G68</f>
        <v>166434937.17230767</v>
      </c>
      <c r="M226" s="332"/>
      <c r="N226" s="307"/>
      <c r="O226" s="307"/>
      <c r="P226" s="319"/>
    </row>
    <row r="227" spans="2:16">
      <c r="B227" s="316">
        <f>+B226+1</f>
        <v>132</v>
      </c>
      <c r="C227" s="317"/>
      <c r="D227" s="327" t="str">
        <f>"  Less transmission plant excluded from PJM Tariff  (Worksheet A, ln "&amp;'WS A - RB Support'!A62&amp;", Col. "&amp;'WS A - RB Support'!E47&amp;") (Note P)"</f>
        <v xml:space="preserve">  Less transmission plant excluded from PJM Tariff  (Worksheet A, ln 42, Col. (d)) (Note P)</v>
      </c>
      <c r="E227" s="466"/>
      <c r="F227" s="466"/>
      <c r="G227" s="467"/>
      <c r="H227" s="466"/>
      <c r="I227" s="466"/>
      <c r="J227" s="466"/>
      <c r="K227" s="466"/>
      <c r="L227" s="826">
        <f>'WS A - RB Support'!E62</f>
        <v>0</v>
      </c>
      <c r="M227" s="332"/>
      <c r="N227" s="307"/>
      <c r="P227" s="319"/>
    </row>
    <row r="228" spans="2:16" ht="15.75" thickBot="1">
      <c r="B228" s="316">
        <f>+B227+1</f>
        <v>133</v>
      </c>
      <c r="C228" s="317"/>
      <c r="D228" s="464" t="str">
        <f>"  Less transmission plant included in OATT Ancillary Services (Worksheet A, ln "&amp;'WS A - RB Support'!A62&amp;", Col. "&amp;'WS A - RB Support'!C47&amp;")  (Note Q)"</f>
        <v xml:space="preserve">  Less transmission plant included in OATT Ancillary Services (Worksheet A, ln 42, Col. (b))  (Note Q)</v>
      </c>
      <c r="E228" s="464"/>
      <c r="F228" s="464"/>
      <c r="G228" s="377"/>
      <c r="H228" s="465"/>
      <c r="I228" s="465"/>
      <c r="J228" s="377"/>
      <c r="K228" s="465"/>
      <c r="L228" s="468">
        <f>'WS A - RB Support'!C62</f>
        <v>12110492.892307691</v>
      </c>
      <c r="M228" s="332"/>
      <c r="N228" s="307"/>
      <c r="P228" s="319"/>
    </row>
    <row r="229" spans="2:16">
      <c r="B229" s="316">
        <f>+B228+1</f>
        <v>134</v>
      </c>
      <c r="C229" s="317"/>
      <c r="D229" s="327" t="s">
        <v>222</v>
      </c>
      <c r="E229" s="469" t="str">
        <f>"(ln "&amp;B226&amp;" - ln "&amp;B227&amp;" - ln "&amp;B228&amp;")"</f>
        <v>(ln 131 - ln 132 - ln 133)</v>
      </c>
      <c r="F229" s="464"/>
      <c r="H229" s="465"/>
      <c r="I229" s="465"/>
      <c r="J229" s="377"/>
      <c r="K229" s="465"/>
      <c r="L229" s="335">
        <f>L226-L227-L228</f>
        <v>154324444.27999997</v>
      </c>
      <c r="M229" s="332"/>
      <c r="N229" s="307"/>
      <c r="P229" s="319"/>
    </row>
    <row r="230" spans="2:16">
      <c r="B230" s="316"/>
      <c r="C230" s="317"/>
      <c r="D230" s="307"/>
      <c r="E230" s="464"/>
      <c r="F230" s="464"/>
      <c r="G230" s="377"/>
      <c r="H230" s="465"/>
      <c r="I230" s="465"/>
      <c r="J230" s="377"/>
      <c r="K230" s="465"/>
      <c r="L230" s="466"/>
      <c r="M230" s="332"/>
      <c r="N230" s="307"/>
      <c r="P230" s="319"/>
    </row>
    <row r="231" spans="2:16" ht="15.75">
      <c r="B231" s="316">
        <f>+B229+1</f>
        <v>135</v>
      </c>
      <c r="C231" s="317"/>
      <c r="D231" s="327" t="s">
        <v>223</v>
      </c>
      <c r="E231" s="470" t="str">
        <f>"(ln "&amp;B229&amp;" / ln "&amp;B226&amp;")"</f>
        <v>(ln 134 / ln 131)</v>
      </c>
      <c r="F231" s="471"/>
      <c r="H231" s="472"/>
      <c r="I231" s="473"/>
      <c r="J231" s="473"/>
      <c r="K231" s="474" t="s">
        <v>143</v>
      </c>
      <c r="L231" s="475">
        <f>IF(L226&gt;0,L229/L226,0)</f>
        <v>0.92723587308012212</v>
      </c>
      <c r="M231" s="332"/>
      <c r="N231" s="307"/>
      <c r="P231" s="319"/>
    </row>
    <row r="232" spans="2:16" ht="15.75">
      <c r="B232" s="316"/>
      <c r="C232" s="317"/>
      <c r="D232" s="476"/>
      <c r="E232" s="327"/>
      <c r="F232" s="327"/>
      <c r="G232" s="477"/>
      <c r="H232" s="327"/>
      <c r="I232" s="342"/>
      <c r="J232" s="327"/>
      <c r="K232" s="327"/>
      <c r="L232" s="311"/>
      <c r="M232" s="332"/>
      <c r="N232" s="307"/>
    </row>
    <row r="233" spans="2:16" ht="30">
      <c r="B233" s="316">
        <f>B231+1</f>
        <v>136</v>
      </c>
      <c r="C233" s="342"/>
      <c r="D233" s="353" t="s">
        <v>41</v>
      </c>
      <c r="E233" s="336" t="s">
        <v>343</v>
      </c>
      <c r="F233" s="336" t="s">
        <v>184</v>
      </c>
      <c r="G233" s="478" t="s">
        <v>214</v>
      </c>
      <c r="H233" s="412" t="s">
        <v>118</v>
      </c>
      <c r="I233" s="345"/>
      <c r="J233" s="314"/>
      <c r="K233" s="314"/>
      <c r="L233" s="314"/>
      <c r="M233" s="332"/>
      <c r="N233" s="307"/>
    </row>
    <row r="234" spans="2:16">
      <c r="B234" s="316">
        <f t="shared" ref="B234:B239" si="11">+B233+1</f>
        <v>137</v>
      </c>
      <c r="C234" s="342"/>
      <c r="D234" s="353" t="s">
        <v>126</v>
      </c>
      <c r="E234" s="314" t="s">
        <v>431</v>
      </c>
      <c r="F234" s="828">
        <v>8816039.4300000016</v>
      </c>
      <c r="G234" s="828">
        <v>1621511</v>
      </c>
      <c r="H234" s="379">
        <f>+F234+G234</f>
        <v>10437550.430000002</v>
      </c>
      <c r="I234" s="345" t="s">
        <v>127</v>
      </c>
      <c r="J234" s="337">
        <v>0</v>
      </c>
      <c r="K234" s="479"/>
      <c r="L234" s="397">
        <f>(F234+G234)*J234</f>
        <v>0</v>
      </c>
      <c r="M234" s="332"/>
      <c r="N234" s="307"/>
    </row>
    <row r="235" spans="2:16">
      <c r="B235" s="316">
        <f t="shared" si="11"/>
        <v>138</v>
      </c>
      <c r="C235" s="342"/>
      <c r="D235" s="385" t="s">
        <v>128</v>
      </c>
      <c r="E235" s="332" t="s">
        <v>12</v>
      </c>
      <c r="F235" s="828">
        <v>1444</v>
      </c>
      <c r="G235" s="828">
        <v>418670</v>
      </c>
      <c r="H235" s="379">
        <f>+F235+G235</f>
        <v>420114</v>
      </c>
      <c r="I235" s="342" t="s">
        <v>120</v>
      </c>
      <c r="J235" s="337">
        <f>L231</f>
        <v>0.92723587308012212</v>
      </c>
      <c r="K235" s="479"/>
      <c r="L235" s="397">
        <f>(F235+G235)*J235</f>
        <v>389544.77158318245</v>
      </c>
      <c r="M235" s="332"/>
      <c r="N235" s="307"/>
    </row>
    <row r="236" spans="2:16">
      <c r="B236" s="316">
        <f t="shared" si="11"/>
        <v>139</v>
      </c>
      <c r="C236" s="342"/>
      <c r="D236" s="385" t="s">
        <v>226</v>
      </c>
      <c r="E236" s="314" t="s">
        <v>465</v>
      </c>
      <c r="F236" s="828">
        <v>0</v>
      </c>
      <c r="G236" s="828">
        <v>0</v>
      </c>
      <c r="H236" s="379">
        <f>+F236+G236</f>
        <v>0</v>
      </c>
      <c r="I236" s="345" t="s">
        <v>127</v>
      </c>
      <c r="J236" s="337">
        <v>0</v>
      </c>
      <c r="K236" s="479"/>
      <c r="L236" s="397">
        <f>(F236+G236)*J236</f>
        <v>0</v>
      </c>
      <c r="M236" s="332"/>
      <c r="N236" s="307"/>
    </row>
    <row r="237" spans="2:16">
      <c r="B237" s="316">
        <f t="shared" si="11"/>
        <v>140</v>
      </c>
      <c r="C237" s="342"/>
      <c r="D237" s="385" t="s">
        <v>130</v>
      </c>
      <c r="E237" s="314" t="s">
        <v>429</v>
      </c>
      <c r="F237" s="828">
        <v>1714716</v>
      </c>
      <c r="G237" s="828">
        <v>364041</v>
      </c>
      <c r="H237" s="379">
        <f>+F237+G237</f>
        <v>2078757</v>
      </c>
      <c r="I237" s="345" t="s">
        <v>127</v>
      </c>
      <c r="J237" s="337">
        <v>0</v>
      </c>
      <c r="K237" s="479"/>
      <c r="L237" s="397">
        <f>(F237+G237)*J237</f>
        <v>0</v>
      </c>
      <c r="M237" s="332"/>
      <c r="N237" s="307"/>
    </row>
    <row r="238" spans="2:16" ht="15.75" thickBot="1">
      <c r="B238" s="316">
        <f t="shared" si="11"/>
        <v>141</v>
      </c>
      <c r="C238" s="342"/>
      <c r="D238" s="385" t="s">
        <v>201</v>
      </c>
      <c r="E238" s="314" t="s">
        <v>430</v>
      </c>
      <c r="F238" s="829">
        <v>201633</v>
      </c>
      <c r="G238" s="829">
        <v>367756</v>
      </c>
      <c r="H238" s="480">
        <f>+F238+G238</f>
        <v>569389</v>
      </c>
      <c r="I238" s="345" t="s">
        <v>127</v>
      </c>
      <c r="J238" s="337">
        <v>0</v>
      </c>
      <c r="K238" s="479"/>
      <c r="L238" s="407">
        <f>(F238+G238)*J238</f>
        <v>0</v>
      </c>
      <c r="M238" s="332"/>
      <c r="N238" s="307"/>
    </row>
    <row r="239" spans="2:16" ht="15.75">
      <c r="B239" s="316">
        <f t="shared" si="11"/>
        <v>142</v>
      </c>
      <c r="C239" s="342"/>
      <c r="D239" s="385" t="s">
        <v>118</v>
      </c>
      <c r="E239" s="385" t="str">
        <f>"(sum lns "&amp;B234&amp;" to "&amp;B238&amp;")"</f>
        <v>(sum lns 137 to 141)</v>
      </c>
      <c r="F239" s="332">
        <f>SUM(F234:F238)</f>
        <v>10733832.430000002</v>
      </c>
      <c r="G239" s="332">
        <f>SUM(G234:G238)</f>
        <v>2771978</v>
      </c>
      <c r="H239" s="332">
        <f>SUM(H234:H238)</f>
        <v>13505810.430000002</v>
      </c>
      <c r="I239" s="345"/>
      <c r="J239" s="314"/>
      <c r="K239" s="314"/>
      <c r="L239" s="397">
        <f>SUM(L234:L238)</f>
        <v>389544.77158318245</v>
      </c>
      <c r="M239" s="481"/>
      <c r="N239" s="307"/>
    </row>
    <row r="240" spans="2:16">
      <c r="B240" s="316"/>
      <c r="C240" s="342"/>
      <c r="D240" s="385" t="s">
        <v>114</v>
      </c>
      <c r="E240" s="332" t="s">
        <v>114</v>
      </c>
      <c r="F240" s="332"/>
      <c r="G240" s="307"/>
      <c r="H240" s="332"/>
      <c r="I240" s="411"/>
      <c r="M240" s="307"/>
      <c r="N240" s="307"/>
    </row>
    <row r="241" spans="2:21" ht="15.75">
      <c r="B241" s="316">
        <f>B239+1</f>
        <v>143</v>
      </c>
      <c r="C241" s="317"/>
      <c r="D241" s="378" t="s">
        <v>42</v>
      </c>
      <c r="E241" s="332"/>
      <c r="F241" s="332"/>
      <c r="G241" s="332"/>
      <c r="H241" s="332"/>
      <c r="I241" s="411"/>
      <c r="K241" s="482" t="s">
        <v>43</v>
      </c>
      <c r="L241" s="483">
        <f>L239/(F239+G239)</f>
        <v>2.8842754279883847E-2</v>
      </c>
      <c r="M241" s="307"/>
      <c r="N241" s="307"/>
    </row>
    <row r="242" spans="2:21">
      <c r="B242" s="316"/>
      <c r="C242" s="317"/>
      <c r="D242" s="378"/>
      <c r="E242" s="332"/>
      <c r="F242" s="332"/>
      <c r="G242" s="332"/>
      <c r="H242" s="332"/>
      <c r="I242" s="345"/>
      <c r="J242" s="314"/>
      <c r="K242" s="314"/>
      <c r="L242" s="314"/>
      <c r="M242" s="332"/>
      <c r="N242" s="307"/>
    </row>
    <row r="243" spans="2:21" ht="15.75">
      <c r="B243" s="316"/>
      <c r="C243" s="317"/>
      <c r="D243" s="378"/>
      <c r="E243" s="461"/>
      <c r="F243" s="314"/>
      <c r="H243" s="314"/>
      <c r="I243" s="314"/>
      <c r="J243" s="314"/>
      <c r="K243" s="376"/>
      <c r="L243" s="484"/>
      <c r="M243" s="332"/>
      <c r="N243" s="307"/>
    </row>
    <row r="244" spans="2:21" ht="15.75" thickBot="1">
      <c r="B244" s="316">
        <f>+B241+1</f>
        <v>144</v>
      </c>
      <c r="C244" s="342"/>
      <c r="D244" s="385" t="s">
        <v>198</v>
      </c>
      <c r="E244" s="332"/>
      <c r="F244" s="332"/>
      <c r="G244" s="332"/>
      <c r="H244" s="332"/>
      <c r="I244" s="332"/>
      <c r="J244" s="332"/>
      <c r="K244" s="332"/>
      <c r="L244" s="485" t="s">
        <v>144</v>
      </c>
      <c r="M244" s="332"/>
      <c r="N244" s="307"/>
    </row>
    <row r="245" spans="2:21">
      <c r="B245" s="316">
        <f t="shared" ref="B245:B252" si="12">+B244+1</f>
        <v>145</v>
      </c>
      <c r="C245" s="342"/>
      <c r="D245" s="332" t="s">
        <v>219</v>
      </c>
      <c r="E245" s="307" t="str">
        <f>"(Worksheet M, ln. "&amp;'WS M - Cost of Capital'!A56&amp;", col. "&amp;'WS M - Cost of Capital'!E47&amp;")"</f>
        <v>(Worksheet M, ln. 37, col. (d))</v>
      </c>
      <c r="F245" s="332"/>
      <c r="G245" s="332"/>
      <c r="H245" s="332"/>
      <c r="I245" s="332"/>
      <c r="J245" s="332"/>
      <c r="K245" s="332"/>
      <c r="L245" s="350">
        <f>'WS M - Cost of Capital'!E56</f>
        <v>14396955.210000001</v>
      </c>
      <c r="M245" s="332"/>
      <c r="N245" s="307"/>
    </row>
    <row r="246" spans="2:21">
      <c r="B246" s="316">
        <f t="shared" si="12"/>
        <v>146</v>
      </c>
      <c r="C246" s="342"/>
      <c r="D246" s="332" t="s">
        <v>220</v>
      </c>
      <c r="E246" s="307" t="str">
        <f>"(Worksheet M, ln. "&amp;'WS M - Cost of Capital'!A103&amp;")"</f>
        <v>(Worksheet M, ln. 71)</v>
      </c>
      <c r="F246" s="332"/>
      <c r="G246" s="332"/>
      <c r="H246" s="332"/>
      <c r="I246" s="332"/>
      <c r="J246" s="332"/>
      <c r="K246" s="332"/>
      <c r="L246" s="350">
        <f>'WS M - Cost of Capital'!E103</f>
        <v>0</v>
      </c>
      <c r="M246" s="332"/>
      <c r="N246" s="307"/>
    </row>
    <row r="247" spans="2:21">
      <c r="B247" s="316">
        <f t="shared" si="12"/>
        <v>147</v>
      </c>
      <c r="C247" s="342"/>
      <c r="D247" s="486" t="s">
        <v>242</v>
      </c>
      <c r="E247" s="332"/>
      <c r="F247" s="332"/>
      <c r="G247" s="332"/>
      <c r="H247" s="401"/>
      <c r="I247" s="332"/>
      <c r="J247" s="332"/>
      <c r="K247" s="332"/>
      <c r="L247" s="350"/>
      <c r="M247" s="332"/>
      <c r="N247" s="307"/>
    </row>
    <row r="248" spans="2:21">
      <c r="B248" s="316">
        <f t="shared" si="12"/>
        <v>148</v>
      </c>
      <c r="C248" s="342"/>
      <c r="D248" s="332" t="s">
        <v>243</v>
      </c>
      <c r="E248" s="513" t="str">
        <f>"(Worksheet M, ln. "&amp;'WS M - Cost of Capital'!A23&amp;", col. "&amp;'WS M - Cost of Capital'!C8&amp;")"</f>
        <v>(Worksheet M, ln. 14, col. (b))</v>
      </c>
      <c r="F248" s="332"/>
      <c r="G248" s="327"/>
      <c r="H248" s="403"/>
      <c r="I248" s="332"/>
      <c r="J248" s="332"/>
      <c r="K248" s="332"/>
      <c r="L248" s="350">
        <f>'WS M - Cost of Capital'!C23</f>
        <v>430745469.1782307</v>
      </c>
      <c r="M248" s="332"/>
      <c r="N248" s="307"/>
    </row>
    <row r="249" spans="2:21">
      <c r="B249" s="316">
        <f t="shared" si="12"/>
        <v>149</v>
      </c>
      <c r="C249" s="342"/>
      <c r="D249" s="332" t="s">
        <v>368</v>
      </c>
      <c r="E249" s="513" t="str">
        <f>"(Worksheet M, ln. "&amp;'WS M - Cost of Capital'!A23&amp;", col. "&amp;'WS M - Cost of Capital'!D8&amp;")"</f>
        <v>(Worksheet M, ln. 14, col. (c))</v>
      </c>
      <c r="F249" s="332"/>
      <c r="G249" s="332"/>
      <c r="H249" s="403"/>
      <c r="I249" s="332"/>
      <c r="J249" s="332"/>
      <c r="K249" s="332"/>
      <c r="L249" s="379">
        <f>'WS M - Cost of Capital'!D23</f>
        <v>0</v>
      </c>
      <c r="M249" s="332"/>
      <c r="N249" s="307"/>
    </row>
    <row r="250" spans="2:21">
      <c r="B250" s="316">
        <f>+B249+1</f>
        <v>150</v>
      </c>
      <c r="C250" s="342"/>
      <c r="D250" s="332" t="s">
        <v>361</v>
      </c>
      <c r="E250" s="513" t="str">
        <f>"(Worksheet M, ln. "&amp;'WS M - Cost of Capital'!A23&amp;", col. "&amp;'WS M - Cost of Capital'!E8&amp;")"</f>
        <v>(Worksheet M, ln. 14, col. (d))</v>
      </c>
      <c r="F250" s="332"/>
      <c r="G250" s="332"/>
      <c r="H250" s="403"/>
      <c r="I250" s="332"/>
      <c r="J250" s="332"/>
      <c r="K250" s="332"/>
      <c r="L250" s="379">
        <f>'WS M - Cost of Capital'!E23</f>
        <v>0</v>
      </c>
      <c r="M250" s="332"/>
      <c r="N250" s="307"/>
    </row>
    <row r="251" spans="2:21" ht="15.75" thickBot="1">
      <c r="B251" s="316">
        <f t="shared" si="12"/>
        <v>151</v>
      </c>
      <c r="C251" s="342"/>
      <c r="D251" s="332" t="s">
        <v>367</v>
      </c>
      <c r="E251" s="513" t="str">
        <f>"(Worksheet M, ln. "&amp;'WS M - Cost of Capital'!A23&amp;", col. "&amp;'WS M - Cost of Capital'!F8&amp;")"</f>
        <v>(Worksheet M, ln. 14, col. (e))</v>
      </c>
      <c r="F251" s="332"/>
      <c r="G251" s="332"/>
      <c r="H251" s="403"/>
      <c r="I251" s="332"/>
      <c r="J251" s="404"/>
      <c r="K251" s="332"/>
      <c r="L251" s="480">
        <f>'WS M - Cost of Capital'!F23</f>
        <v>1411287.2269230769</v>
      </c>
      <c r="M251" s="332"/>
      <c r="N251" s="307"/>
    </row>
    <row r="252" spans="2:21">
      <c r="B252" s="316">
        <f t="shared" si="12"/>
        <v>152</v>
      </c>
      <c r="C252" s="342"/>
      <c r="D252" s="302" t="s">
        <v>244</v>
      </c>
      <c r="E252" s="332" t="str">
        <f>"(ln "&amp;B248&amp;" - ln "&amp;B249&amp;" - ln "&amp;B250&amp;" - ln "&amp;B251&amp;")"</f>
        <v>(ln 148 - ln 149 - ln 150 - ln 151)</v>
      </c>
      <c r="F252" s="487"/>
      <c r="G252" s="307"/>
      <c r="H252" s="327"/>
      <c r="I252" s="327"/>
      <c r="J252" s="327"/>
      <c r="K252" s="327"/>
      <c r="L252" s="350">
        <f>+L248-L249-L250-L251</f>
        <v>429334181.95130765</v>
      </c>
      <c r="M252" s="314"/>
    </row>
    <row r="253" spans="2:21" ht="15.75">
      <c r="B253" s="316"/>
      <c r="C253" s="342"/>
      <c r="D253" s="385"/>
      <c r="E253" s="332"/>
      <c r="F253" s="332"/>
      <c r="G253" s="1538" t="s">
        <v>907</v>
      </c>
      <c r="H253" s="1538"/>
      <c r="I253" s="1538"/>
      <c r="J253" s="489" t="s">
        <v>145</v>
      </c>
      <c r="K253" s="332"/>
      <c r="L253" s="332"/>
      <c r="M253" s="314"/>
    </row>
    <row r="254" spans="2:21" ht="15.75" thickBot="1">
      <c r="B254" s="316">
        <f>+B252+1</f>
        <v>153</v>
      </c>
      <c r="C254" s="342"/>
      <c r="D254" s="385"/>
      <c r="F254" s="332"/>
      <c r="G254" s="490" t="s">
        <v>144</v>
      </c>
      <c r="H254" s="490" t="s">
        <v>146</v>
      </c>
      <c r="I254" s="485" t="s">
        <v>908</v>
      </c>
      <c r="J254" s="491" t="s">
        <v>427</v>
      </c>
      <c r="K254" s="332"/>
      <c r="L254" s="490" t="s">
        <v>147</v>
      </c>
      <c r="M254" s="314"/>
      <c r="N254" s="308"/>
      <c r="O254" s="308"/>
      <c r="P254" s="308"/>
      <c r="Q254" s="308"/>
      <c r="R254" s="308"/>
      <c r="S254" s="308"/>
      <c r="T254" s="308"/>
      <c r="U254" s="308"/>
    </row>
    <row r="255" spans="2:21">
      <c r="B255" s="316">
        <f>+B254+1</f>
        <v>154</v>
      </c>
      <c r="C255" s="342"/>
      <c r="D255" s="513" t="str">
        <f>"  Long Term Debt  (Note T) Worksheet M, ln "&amp;'WS M - Cost of Capital'!A42&amp;", col. (g), ln "&amp;'WS M - Cost of Capital'!A58&amp;", col. "&amp;'WS M - Cost of Capital'!E47&amp;")"</f>
        <v xml:space="preserve">  Long Term Debt  (Note T) Worksheet M, ln 28, col. (g), ln 38, col. (d))</v>
      </c>
      <c r="E255" s="513"/>
      <c r="F255" s="332"/>
      <c r="G255" s="350">
        <f>'WS M - Cost of Capital'!H42</f>
        <v>398384615.38461536</v>
      </c>
      <c r="H255" s="1283">
        <f>IF($G$258&gt;0,G255/$G$258,0)</f>
        <v>0.48130429883536185</v>
      </c>
      <c r="I255" s="492">
        <f>IF(H257&gt;E260,1-I256-I257,H255)</f>
        <v>0.48130429883536185</v>
      </c>
      <c r="J255" s="404">
        <f>'WS M - Cost of Capital'!E58</f>
        <v>3.6138331285962548E-2</v>
      </c>
      <c r="K255" s="307"/>
      <c r="L255" s="494">
        <f>I255*J255</f>
        <v>1.7393534200670226E-2</v>
      </c>
      <c r="M255" s="495"/>
      <c r="N255" s="308"/>
      <c r="O255" s="308"/>
      <c r="P255" s="308"/>
      <c r="Q255" s="308"/>
      <c r="R255" s="308"/>
      <c r="S255" s="308"/>
      <c r="T255" s="308"/>
      <c r="U255" s="308"/>
    </row>
    <row r="256" spans="2:21">
      <c r="B256" s="316">
        <f>+B255+1</f>
        <v>155</v>
      </c>
      <c r="C256" s="342"/>
      <c r="D256" s="385" t="str">
        <f>"  Preferred Stock (ln "&amp;B249&amp;")"</f>
        <v xml:space="preserve">  Preferred Stock (ln 149)</v>
      </c>
      <c r="F256" s="307"/>
      <c r="G256" s="350">
        <f>+L249</f>
        <v>0</v>
      </c>
      <c r="H256" s="492">
        <f>IF($G$258&gt;0,G256/$G$258,0)</f>
        <v>0</v>
      </c>
      <c r="I256" s="492">
        <f>H256</f>
        <v>0</v>
      </c>
      <c r="J256" s="493">
        <f>IF(G256&gt;0,L246/G256,0)</f>
        <v>0</v>
      </c>
      <c r="K256" s="307"/>
      <c r="L256" s="496">
        <f>IH256*J256</f>
        <v>0</v>
      </c>
      <c r="M256" s="314"/>
    </row>
    <row r="257" spans="2:21" ht="15.75" thickBot="1">
      <c r="B257" s="316">
        <f>+B256+1</f>
        <v>156</v>
      </c>
      <c r="C257" s="342"/>
      <c r="D257" s="385" t="str">
        <f>"  Common Stock (ln "&amp;B252&amp;")"</f>
        <v xml:space="preserve">  Common Stock (ln 152)</v>
      </c>
      <c r="F257" s="307"/>
      <c r="G257" s="386">
        <f>+L252</f>
        <v>429334181.95130765</v>
      </c>
      <c r="H257" s="492">
        <f>IF($G$258&gt;0,G257/$G$258,0)</f>
        <v>0.51869570116463826</v>
      </c>
      <c r="I257" s="492">
        <f>IF(H257&gt;E260,E260,H257)</f>
        <v>0.51869570116463826</v>
      </c>
      <c r="J257" s="830">
        <v>0.10349999999999999</v>
      </c>
      <c r="K257" s="307"/>
      <c r="L257" s="497">
        <f>I257*J257</f>
        <v>5.3685005070540054E-2</v>
      </c>
      <c r="M257" s="314"/>
    </row>
    <row r="258" spans="2:21" ht="15.75">
      <c r="B258" s="316">
        <f>+B257+1</f>
        <v>157</v>
      </c>
      <c r="C258" s="342"/>
      <c r="D258" s="385" t="str">
        <f>" Total (Sum lns "&amp;B255&amp;" to "&amp;B257&amp;")"</f>
        <v xml:space="preserve"> Total (Sum lns 154 to 156)</v>
      </c>
      <c r="F258" s="307"/>
      <c r="G258" s="350">
        <f>G257+G256+G255</f>
        <v>827718797.33592296</v>
      </c>
      <c r="I258" s="488"/>
      <c r="J258" s="498"/>
      <c r="K258" s="399" t="s">
        <v>25</v>
      </c>
      <c r="L258" s="499">
        <f>SUM(L255:L257)</f>
        <v>7.1078539271210273E-2</v>
      </c>
      <c r="M258" s="500"/>
    </row>
    <row r="259" spans="2:21" ht="15.75">
      <c r="B259" s="316"/>
      <c r="C259" s="342"/>
      <c r="D259" s="385"/>
      <c r="F259" s="307"/>
      <c r="G259" s="350"/>
      <c r="I259" s="488"/>
      <c r="J259" s="498"/>
      <c r="K259" s="399"/>
      <c r="L259" s="499"/>
      <c r="M259" s="500"/>
    </row>
    <row r="260" spans="2:21" ht="15.75">
      <c r="B260" s="341">
        <f>B258+1</f>
        <v>158</v>
      </c>
      <c r="C260" s="507"/>
      <c r="D260" s="507" t="s">
        <v>906</v>
      </c>
      <c r="E260" s="1289">
        <v>0.55000000000000004</v>
      </c>
      <c r="F260" s="307"/>
      <c r="G260" s="350"/>
      <c r="I260" s="488"/>
      <c r="J260" s="498"/>
      <c r="K260" s="399"/>
      <c r="L260" s="499"/>
      <c r="M260" s="500"/>
    </row>
    <row r="261" spans="2:21">
      <c r="B261" s="316"/>
      <c r="C261" s="357"/>
      <c r="D261" s="357"/>
      <c r="E261" s="319"/>
      <c r="F261" s="319"/>
      <c r="G261" s="319"/>
      <c r="H261" s="319"/>
      <c r="I261" s="319"/>
      <c r="J261" s="314"/>
      <c r="K261" s="311"/>
      <c r="L261" s="314"/>
      <c r="M261" s="311"/>
      <c r="N261" s="327"/>
      <c r="O261" s="327"/>
      <c r="P261" s="327"/>
      <c r="Q261" s="327"/>
      <c r="R261" s="327"/>
      <c r="S261" s="327"/>
      <c r="T261" s="327"/>
      <c r="U261" s="327"/>
    </row>
    <row r="262" spans="2:21" ht="15.75">
      <c r="B262" s="409"/>
      <c r="C262" s="317"/>
      <c r="D262" s="304"/>
      <c r="E262" s="304"/>
      <c r="F262" s="411" t="str">
        <f>F216</f>
        <v xml:space="preserve">AEP East Companies </v>
      </c>
      <c r="G262" s="305"/>
      <c r="H262" s="314"/>
      <c r="I262" s="314"/>
      <c r="J262" s="314"/>
      <c r="K262" s="311"/>
      <c r="L262" s="314"/>
      <c r="M262" s="501"/>
      <c r="N262" s="327"/>
      <c r="O262" s="327"/>
      <c r="P262" s="327"/>
      <c r="Q262" s="327"/>
      <c r="R262" s="327"/>
      <c r="S262" s="327"/>
      <c r="T262" s="327"/>
      <c r="U262" s="327"/>
    </row>
    <row r="263" spans="2:21">
      <c r="B263" s="409"/>
      <c r="C263" s="317"/>
      <c r="D263" s="502"/>
      <c r="E263" s="317"/>
      <c r="F263" s="411" t="str">
        <f>F217</f>
        <v>Transmission Cost of Service Formula Rate</v>
      </c>
      <c r="G263" s="314"/>
      <c r="H263" s="314"/>
      <c r="I263" s="314"/>
      <c r="J263" s="314"/>
      <c r="K263" s="311"/>
      <c r="L263" s="330"/>
      <c r="M263" s="367"/>
      <c r="N263" s="327"/>
      <c r="O263" s="327"/>
      <c r="P263" s="327"/>
      <c r="Q263" s="327"/>
      <c r="R263" s="327"/>
      <c r="S263" s="327"/>
      <c r="T263" s="327"/>
      <c r="U263" s="327"/>
    </row>
    <row r="264" spans="2:21" ht="15.75">
      <c r="B264" s="409"/>
      <c r="C264" s="317"/>
      <c r="D264" s="502"/>
      <c r="E264" s="417"/>
      <c r="F264" s="411" t="str">
        <f>F218</f>
        <v>Utilizing  Actual/Projected FERC Form 1 Data</v>
      </c>
      <c r="G264" s="314"/>
      <c r="H264" s="314"/>
      <c r="I264" s="314"/>
      <c r="J264" s="314"/>
      <c r="K264" s="311"/>
      <c r="L264" s="330"/>
      <c r="M264" s="501"/>
      <c r="N264" s="327"/>
      <c r="O264" s="327"/>
      <c r="P264" s="327"/>
      <c r="Q264" s="327"/>
      <c r="R264" s="327"/>
      <c r="S264" s="327"/>
      <c r="T264" s="327"/>
      <c r="U264" s="327"/>
    </row>
    <row r="265" spans="2:21" ht="15.75">
      <c r="B265" s="316"/>
      <c r="C265" s="317"/>
      <c r="D265" s="502"/>
      <c r="E265" s="417"/>
      <c r="F265" s="411"/>
      <c r="G265" s="314"/>
      <c r="H265" s="314"/>
      <c r="I265" s="314"/>
      <c r="J265" s="314"/>
      <c r="K265" s="311"/>
      <c r="L265" s="330"/>
      <c r="M265" s="307"/>
      <c r="N265" s="327"/>
      <c r="O265" s="327"/>
      <c r="P265" s="327"/>
      <c r="Q265" s="327"/>
      <c r="R265" s="327"/>
      <c r="S265" s="327"/>
      <c r="T265" s="327"/>
      <c r="U265" s="327"/>
    </row>
    <row r="266" spans="2:21" ht="15.75">
      <c r="B266" s="316"/>
      <c r="C266" s="317"/>
      <c r="D266" s="502"/>
      <c r="E266" s="417"/>
      <c r="F266" s="411" t="str">
        <f>F220</f>
        <v>WHEELING POWER COMPANY</v>
      </c>
      <c r="G266" s="314"/>
      <c r="H266" s="314"/>
      <c r="I266" s="314"/>
      <c r="J266" s="314"/>
      <c r="K266" s="311"/>
      <c r="L266" s="330"/>
      <c r="M266" s="307"/>
      <c r="N266" s="327"/>
      <c r="O266" s="327"/>
      <c r="P266" s="327"/>
      <c r="Q266" s="327"/>
      <c r="R266" s="327"/>
      <c r="S266" s="327"/>
      <c r="T266" s="327"/>
      <c r="U266" s="327"/>
    </row>
    <row r="267" spans="2:21" ht="15.75">
      <c r="B267" s="316"/>
      <c r="C267" s="317"/>
      <c r="D267" s="502"/>
      <c r="E267" s="417"/>
      <c r="F267" s="411"/>
      <c r="G267" s="314"/>
      <c r="H267" s="314"/>
      <c r="I267" s="314"/>
      <c r="J267" s="314"/>
      <c r="K267" s="311"/>
      <c r="L267" s="330"/>
      <c r="M267" s="307"/>
      <c r="N267" s="327"/>
      <c r="O267" s="327"/>
      <c r="P267" s="327"/>
      <c r="Q267" s="327"/>
      <c r="R267" s="327"/>
      <c r="S267" s="327"/>
      <c r="T267" s="327"/>
      <c r="U267" s="327"/>
    </row>
    <row r="268" spans="2:21" ht="15.75">
      <c r="B268" s="503" t="s">
        <v>176</v>
      </c>
      <c r="C268" s="324"/>
      <c r="D268" s="353"/>
      <c r="E268" s="327"/>
      <c r="F268" s="503" t="s">
        <v>175</v>
      </c>
      <c r="G268" s="332"/>
      <c r="H268" s="332"/>
      <c r="I268" s="332"/>
      <c r="J268" s="332"/>
      <c r="K268" s="327"/>
      <c r="L268" s="332"/>
      <c r="M268" s="307"/>
      <c r="N268" s="327"/>
      <c r="O268" s="327"/>
      <c r="P268" s="327"/>
      <c r="Q268" s="327"/>
      <c r="R268" s="327"/>
      <c r="S268" s="327"/>
      <c r="T268" s="327"/>
      <c r="U268" s="327"/>
    </row>
    <row r="269" spans="2:21">
      <c r="C269" s="324"/>
      <c r="L269" s="330"/>
      <c r="M269" s="307"/>
      <c r="N269" s="327"/>
      <c r="O269" s="327"/>
      <c r="P269" s="327"/>
      <c r="Q269" s="327"/>
      <c r="R269" s="327"/>
      <c r="S269" s="327"/>
      <c r="T269" s="327"/>
      <c r="U269" s="327"/>
    </row>
    <row r="270" spans="2:21">
      <c r="B270" s="316"/>
      <c r="C270" s="317"/>
      <c r="D270" s="308" t="s">
        <v>5</v>
      </c>
      <c r="E270" s="342"/>
      <c r="F270" s="342"/>
      <c r="G270" s="332"/>
      <c r="H270" s="332"/>
      <c r="I270" s="332"/>
      <c r="J270" s="332"/>
      <c r="K270" s="327"/>
      <c r="L270" s="332"/>
      <c r="M270" s="327"/>
      <c r="N270" s="327"/>
      <c r="O270" s="327"/>
      <c r="P270" s="327"/>
      <c r="Q270" s="327"/>
      <c r="R270" s="327"/>
      <c r="S270" s="327"/>
      <c r="T270" s="327"/>
      <c r="U270" s="327"/>
    </row>
    <row r="271" spans="2:21">
      <c r="B271" s="302"/>
      <c r="D271" s="353"/>
      <c r="E271" s="327"/>
      <c r="F271" s="327"/>
      <c r="G271" s="332"/>
      <c r="H271" s="332"/>
      <c r="I271" s="332"/>
      <c r="J271" s="332"/>
      <c r="K271" s="327"/>
      <c r="L271" s="332"/>
      <c r="M271" s="327"/>
      <c r="N271" s="327"/>
      <c r="O271" s="327"/>
      <c r="P271" s="327"/>
      <c r="Q271" s="327"/>
      <c r="R271" s="327"/>
      <c r="S271" s="327"/>
      <c r="T271" s="327"/>
      <c r="U271" s="327"/>
    </row>
    <row r="272" spans="2:21" ht="3.75" customHeight="1">
      <c r="B272" s="302"/>
      <c r="D272" s="353"/>
      <c r="E272" s="327"/>
      <c r="F272" s="327"/>
      <c r="G272" s="332"/>
      <c r="H272" s="332"/>
      <c r="I272" s="332"/>
      <c r="J272" s="332"/>
      <c r="K272" s="327"/>
      <c r="L272" s="332"/>
      <c r="M272" s="327"/>
      <c r="N272" s="327"/>
      <c r="O272" s="327"/>
      <c r="P272" s="327"/>
      <c r="Q272" s="327"/>
      <c r="R272" s="327"/>
      <c r="S272" s="327"/>
      <c r="T272" s="327"/>
      <c r="U272" s="327"/>
    </row>
    <row r="273" spans="2:21">
      <c r="B273" s="504" t="s">
        <v>148</v>
      </c>
      <c r="C273" s="324"/>
      <c r="D273" s="353" t="s">
        <v>476</v>
      </c>
      <c r="E273" s="327"/>
      <c r="F273" s="327"/>
      <c r="G273" s="332"/>
      <c r="H273" s="332"/>
      <c r="I273" s="332"/>
      <c r="J273" s="332"/>
      <c r="K273" s="327"/>
      <c r="L273" s="332"/>
      <c r="M273" s="327"/>
      <c r="N273" s="327"/>
      <c r="O273" s="327"/>
      <c r="P273" s="327"/>
      <c r="Q273" s="327"/>
      <c r="R273" s="327"/>
      <c r="S273" s="327"/>
      <c r="T273" s="327"/>
      <c r="U273" s="327"/>
    </row>
    <row r="274" spans="2:21">
      <c r="B274" s="504"/>
      <c r="C274" s="412"/>
      <c r="D274" s="353" t="s">
        <v>369</v>
      </c>
      <c r="E274" s="327"/>
      <c r="F274" s="327"/>
      <c r="G274" s="327"/>
      <c r="H274" s="327"/>
      <c r="I274" s="327"/>
      <c r="J274" s="327"/>
      <c r="K274" s="327"/>
      <c r="L274" s="327"/>
      <c r="M274" s="327"/>
      <c r="N274" s="327"/>
      <c r="O274" s="327"/>
      <c r="P274" s="327"/>
      <c r="Q274" s="327"/>
      <c r="R274" s="327"/>
      <c r="S274" s="327"/>
      <c r="T274" s="327"/>
      <c r="U274" s="327"/>
    </row>
    <row r="275" spans="2:21">
      <c r="B275" s="505"/>
      <c r="C275" s="307"/>
      <c r="D275" s="302" t="s">
        <v>370</v>
      </c>
      <c r="E275" s="506"/>
      <c r="F275" s="506"/>
      <c r="G275" s="327"/>
      <c r="H275" s="327"/>
      <c r="I275" s="327"/>
      <c r="J275" s="327"/>
      <c r="K275" s="327"/>
      <c r="L275" s="327"/>
      <c r="M275" s="327"/>
      <c r="N275" s="327"/>
      <c r="O275" s="327"/>
      <c r="P275" s="327"/>
      <c r="Q275" s="327"/>
      <c r="R275" s="327"/>
      <c r="S275" s="327"/>
      <c r="T275" s="327"/>
      <c r="U275" s="327"/>
    </row>
    <row r="276" spans="2:21">
      <c r="B276" s="505"/>
      <c r="C276" s="307"/>
      <c r="D276" s="353" t="s">
        <v>477</v>
      </c>
      <c r="E276" s="327"/>
      <c r="F276" s="327"/>
      <c r="G276" s="327"/>
      <c r="H276" s="327"/>
      <c r="I276" s="327"/>
      <c r="J276" s="327"/>
      <c r="K276" s="327"/>
      <c r="L276" s="327"/>
      <c r="M276" s="327"/>
      <c r="N276" s="327"/>
      <c r="O276" s="327"/>
      <c r="P276" s="327"/>
      <c r="Q276" s="327"/>
      <c r="R276" s="327"/>
      <c r="S276" s="327"/>
      <c r="T276" s="327"/>
      <c r="U276" s="327"/>
    </row>
    <row r="277" spans="2:21">
      <c r="B277" s="341"/>
      <c r="C277" s="342"/>
      <c r="D277" s="353" t="s">
        <v>478</v>
      </c>
      <c r="E277" s="327"/>
      <c r="F277" s="327"/>
      <c r="G277" s="327"/>
      <c r="H277" s="327"/>
      <c r="I277" s="327"/>
      <c r="J277" s="327"/>
      <c r="K277" s="327"/>
      <c r="L277" s="327"/>
      <c r="M277" s="327"/>
      <c r="N277" s="327"/>
      <c r="O277" s="327"/>
      <c r="P277" s="327"/>
      <c r="Q277" s="327"/>
      <c r="R277" s="327"/>
      <c r="S277" s="327"/>
      <c r="T277" s="327"/>
      <c r="U277" s="327"/>
    </row>
    <row r="278" spans="2:21">
      <c r="B278" s="341"/>
      <c r="C278" s="342"/>
      <c r="D278" s="353" t="s">
        <v>371</v>
      </c>
      <c r="E278" s="327"/>
      <c r="F278" s="327"/>
      <c r="G278" s="327"/>
      <c r="H278" s="327"/>
      <c r="I278" s="327"/>
      <c r="J278" s="327"/>
      <c r="K278" s="327"/>
      <c r="L278" s="327"/>
      <c r="M278" s="327"/>
      <c r="N278" s="327"/>
      <c r="O278" s="327"/>
      <c r="P278" s="327"/>
      <c r="Q278" s="327"/>
      <c r="R278" s="327"/>
      <c r="S278" s="327"/>
      <c r="T278" s="327"/>
      <c r="U278" s="327"/>
    </row>
    <row r="279" spans="2:21">
      <c r="B279" s="341"/>
      <c r="C279" s="342"/>
      <c r="D279" s="353" t="s">
        <v>372</v>
      </c>
      <c r="E279" s="327"/>
      <c r="F279" s="327"/>
      <c r="G279" s="327"/>
      <c r="H279" s="327"/>
      <c r="I279" s="327"/>
      <c r="J279" s="327"/>
      <c r="K279" s="327"/>
      <c r="L279" s="327"/>
      <c r="M279" s="327"/>
      <c r="N279" s="327"/>
      <c r="O279" s="327"/>
      <c r="P279" s="327"/>
      <c r="Q279" s="327"/>
      <c r="R279" s="327"/>
      <c r="S279" s="327"/>
      <c r="T279" s="327"/>
      <c r="U279" s="327"/>
    </row>
    <row r="280" spans="2:21" ht="45" customHeight="1">
      <c r="B280" s="341"/>
      <c r="C280" s="342"/>
      <c r="D280" s="1540" t="s">
        <v>574</v>
      </c>
      <c r="E280" s="1540"/>
      <c r="F280" s="1540"/>
      <c r="G280" s="1540"/>
      <c r="H280" s="1540"/>
      <c r="I280" s="1540"/>
      <c r="J280" s="1540"/>
      <c r="K280" s="1540"/>
      <c r="L280" s="1540"/>
      <c r="M280" s="327"/>
      <c r="N280" s="327"/>
      <c r="O280" s="327"/>
      <c r="P280" s="327"/>
      <c r="Q280" s="327"/>
      <c r="R280" s="327"/>
      <c r="S280" s="327"/>
      <c r="T280" s="327"/>
      <c r="U280" s="327"/>
    </row>
    <row r="281" spans="2:21">
      <c r="B281" s="341"/>
      <c r="C281" s="342"/>
      <c r="D281" s="353" t="s">
        <v>486</v>
      </c>
      <c r="E281" s="327"/>
      <c r="F281" s="327"/>
      <c r="G281" s="327"/>
      <c r="H281" s="327"/>
      <c r="I281" s="327"/>
      <c r="J281" s="327"/>
      <c r="K281" s="327"/>
      <c r="L281" s="327"/>
      <c r="M281" s="327"/>
      <c r="N281" s="327"/>
      <c r="O281" s="327"/>
      <c r="P281" s="327"/>
      <c r="Q281" s="327"/>
      <c r="R281" s="327"/>
      <c r="S281" s="327"/>
      <c r="T281" s="327"/>
      <c r="U281" s="327"/>
    </row>
    <row r="282" spans="2:21">
      <c r="B282" s="341"/>
      <c r="C282" s="342"/>
      <c r="D282" s="507"/>
      <c r="E282" s="327"/>
      <c r="F282" s="327"/>
      <c r="G282" s="327"/>
      <c r="H282" s="327"/>
      <c r="I282" s="327"/>
      <c r="J282" s="327"/>
      <c r="K282" s="327"/>
      <c r="L282" s="353"/>
      <c r="M282" s="327"/>
      <c r="N282" s="327"/>
      <c r="O282" s="327"/>
      <c r="P282" s="327"/>
      <c r="Q282" s="327"/>
      <c r="R282" s="327"/>
      <c r="S282" s="327"/>
      <c r="T282" s="327"/>
      <c r="U282" s="327"/>
    </row>
    <row r="283" spans="2:21" ht="15" customHeight="1">
      <c r="B283" s="341" t="s">
        <v>149</v>
      </c>
      <c r="C283" s="342"/>
      <c r="D283" s="1541" t="s">
        <v>592</v>
      </c>
      <c r="E283" s="1533"/>
      <c r="F283" s="1533"/>
      <c r="G283" s="1533"/>
      <c r="H283" s="1533"/>
      <c r="I283" s="1533"/>
      <c r="J283" s="1533"/>
      <c r="K283" s="1533"/>
      <c r="L283" s="353"/>
      <c r="M283" s="327"/>
      <c r="N283" s="327"/>
      <c r="O283" s="327"/>
      <c r="P283" s="327"/>
      <c r="Q283" s="327"/>
      <c r="R283" s="327"/>
      <c r="S283" s="327"/>
      <c r="T283" s="327"/>
      <c r="U283" s="327"/>
    </row>
    <row r="284" spans="2:21">
      <c r="B284" s="341"/>
      <c r="C284" s="342"/>
      <c r="D284" s="1533"/>
      <c r="E284" s="1533"/>
      <c r="F284" s="1533"/>
      <c r="G284" s="1533"/>
      <c r="H284" s="1533"/>
      <c r="I284" s="1533"/>
      <c r="J284" s="1533"/>
      <c r="K284" s="1533"/>
      <c r="L284" s="353"/>
      <c r="M284" s="327"/>
      <c r="N284" s="327"/>
      <c r="O284" s="327"/>
      <c r="P284" s="327"/>
      <c r="Q284" s="327"/>
      <c r="R284" s="327"/>
      <c r="S284" s="327"/>
      <c r="T284" s="327"/>
      <c r="U284" s="327"/>
    </row>
    <row r="285" spans="2:21">
      <c r="E285" s="327"/>
      <c r="F285" s="327"/>
      <c r="G285" s="327"/>
      <c r="H285" s="327"/>
      <c r="I285" s="327"/>
      <c r="J285" s="327"/>
      <c r="K285" s="327"/>
      <c r="L285" s="327"/>
      <c r="M285" s="327"/>
      <c r="N285" s="327"/>
      <c r="O285" s="327"/>
      <c r="P285" s="327"/>
      <c r="Q285" s="327"/>
      <c r="R285" s="327"/>
      <c r="S285" s="327"/>
      <c r="T285" s="327"/>
      <c r="U285" s="327"/>
    </row>
    <row r="286" spans="2:21">
      <c r="B286" s="341" t="s">
        <v>150</v>
      </c>
      <c r="C286" s="342"/>
      <c r="D286" s="508" t="s">
        <v>862</v>
      </c>
      <c r="E286" s="327"/>
      <c r="F286" s="327"/>
      <c r="G286" s="327"/>
      <c r="H286" s="327"/>
      <c r="I286" s="327"/>
      <c r="J286" s="327"/>
      <c r="K286" s="327"/>
      <c r="L286" s="327"/>
      <c r="M286" s="327"/>
      <c r="N286" s="327"/>
      <c r="O286" s="327"/>
      <c r="P286" s="327"/>
      <c r="Q286" s="327"/>
      <c r="R286" s="327"/>
      <c r="S286" s="327"/>
      <c r="T286" s="327"/>
      <c r="U286" s="327"/>
    </row>
    <row r="287" spans="2:21">
      <c r="B287" s="341"/>
      <c r="C287" s="342"/>
      <c r="D287" s="508"/>
      <c r="E287" s="327"/>
      <c r="F287" s="327"/>
      <c r="G287" s="327"/>
      <c r="H287" s="327"/>
      <c r="I287" s="327"/>
      <c r="J287" s="327"/>
      <c r="K287" s="327"/>
      <c r="L287" s="327"/>
      <c r="M287" s="327"/>
      <c r="N287" s="327"/>
      <c r="O287" s="327"/>
      <c r="P287" s="327"/>
      <c r="Q287" s="327"/>
      <c r="R287" s="327"/>
      <c r="S287" s="327"/>
      <c r="T287" s="327"/>
      <c r="U287" s="327"/>
    </row>
    <row r="288" spans="2:21">
      <c r="B288" s="341" t="s">
        <v>151</v>
      </c>
      <c r="C288" s="342"/>
      <c r="D288" s="1540" t="s">
        <v>576</v>
      </c>
      <c r="E288" s="1540"/>
      <c r="F288" s="1540"/>
      <c r="G288" s="1540"/>
      <c r="H288" s="1540"/>
      <c r="I288" s="1540"/>
      <c r="J288" s="1540"/>
      <c r="K288" s="1540"/>
      <c r="L288" s="1540"/>
      <c r="M288" s="327"/>
      <c r="N288" s="327"/>
      <c r="O288" s="327"/>
      <c r="P288" s="353"/>
      <c r="Q288" s="353"/>
      <c r="R288" s="327"/>
      <c r="S288" s="327"/>
      <c r="T288" s="327"/>
      <c r="U288" s="327"/>
    </row>
    <row r="289" spans="2:21">
      <c r="B289" s="341"/>
      <c r="C289" s="342"/>
      <c r="D289" s="1540"/>
      <c r="E289" s="1540"/>
      <c r="F289" s="1540"/>
      <c r="G289" s="1540"/>
      <c r="H289" s="1540"/>
      <c r="I289" s="1540"/>
      <c r="J289" s="1540"/>
      <c r="K289" s="1540"/>
      <c r="L289" s="1540"/>
      <c r="M289" s="327"/>
      <c r="N289" s="327"/>
      <c r="O289" s="327"/>
      <c r="P289" s="353"/>
      <c r="Q289" s="353"/>
      <c r="R289" s="327"/>
      <c r="S289" s="327"/>
      <c r="T289" s="327"/>
      <c r="U289" s="327"/>
    </row>
    <row r="290" spans="2:21">
      <c r="B290" s="341"/>
      <c r="C290" s="342"/>
      <c r="D290" s="353" t="s">
        <v>577</v>
      </c>
      <c r="E290" s="327"/>
      <c r="F290" s="327"/>
      <c r="G290" s="327"/>
      <c r="H290" s="327"/>
      <c r="I290" s="327"/>
      <c r="J290" s="327"/>
      <c r="K290" s="327"/>
      <c r="L290" s="464"/>
      <c r="M290" s="327"/>
      <c r="N290" s="327"/>
      <c r="O290" s="327"/>
      <c r="P290" s="353"/>
      <c r="Q290" s="353"/>
      <c r="R290" s="327"/>
      <c r="S290" s="327"/>
      <c r="T290" s="327"/>
      <c r="U290" s="327"/>
    </row>
    <row r="291" spans="2:21">
      <c r="B291" s="341"/>
      <c r="C291" s="342"/>
      <c r="D291" s="353" t="s">
        <v>578</v>
      </c>
      <c r="E291" s="327"/>
      <c r="F291" s="327"/>
      <c r="G291" s="327"/>
      <c r="H291" s="327"/>
      <c r="I291" s="327"/>
      <c r="J291" s="327"/>
      <c r="K291" s="327"/>
      <c r="L291" s="464"/>
      <c r="M291" s="327"/>
      <c r="N291" s="327"/>
      <c r="O291" s="327"/>
      <c r="P291" s="353"/>
      <c r="Q291" s="327"/>
      <c r="R291" s="327"/>
      <c r="S291" s="327"/>
      <c r="T291" s="327"/>
      <c r="U291" s="327"/>
    </row>
    <row r="292" spans="2:21" ht="30" customHeight="1">
      <c r="B292" s="341"/>
      <c r="C292" s="342"/>
      <c r="D292" s="1540" t="s">
        <v>575</v>
      </c>
      <c r="E292" s="1540"/>
      <c r="F292" s="1540"/>
      <c r="G292" s="1540"/>
      <c r="H292" s="1540"/>
      <c r="I292" s="1540"/>
      <c r="J292" s="1540"/>
      <c r="K292" s="1540"/>
      <c r="L292" s="1540"/>
      <c r="M292" s="327"/>
      <c r="N292" s="327"/>
      <c r="O292" s="327"/>
      <c r="P292" s="353"/>
      <c r="Q292" s="327"/>
      <c r="R292" s="327"/>
      <c r="S292" s="327"/>
      <c r="T292" s="327"/>
      <c r="U292" s="327"/>
    </row>
    <row r="293" spans="2:21" ht="21.75" customHeight="1">
      <c r="B293" s="341" t="s">
        <v>152</v>
      </c>
      <c r="C293" s="353"/>
      <c r="D293" s="353" t="str">
        <f>"Cash Working Capital assigned to transmission is one-eighth of O&amp;M allocated to transmission, as shown on line "&amp;B149&amp;". It excludes:"</f>
        <v>Cash Working Capital assigned to transmission is one-eighth of O&amp;M allocated to transmission, as shown on line 78. It excludes:</v>
      </c>
      <c r="E293" s="509"/>
      <c r="F293" s="509"/>
      <c r="G293" s="509"/>
      <c r="H293" s="509"/>
      <c r="I293" s="509"/>
      <c r="J293" s="509"/>
      <c r="K293" s="509"/>
      <c r="L293" s="509"/>
      <c r="M293" s="327"/>
      <c r="N293" s="327"/>
      <c r="O293" s="327"/>
      <c r="P293" s="327"/>
      <c r="Q293" s="327"/>
      <c r="R293" s="327"/>
      <c r="S293" s="327"/>
      <c r="T293" s="327"/>
      <c r="U293" s="327"/>
    </row>
    <row r="294" spans="2:21">
      <c r="B294" s="341"/>
      <c r="C294" s="353"/>
      <c r="D294" s="510" t="str">
        <f>+"1)  Load Scheduling &amp; Dispatch Charges in account 561 that are collected in the OATT Ancillary Services Revenue, as shown on line "&amp;B146&amp;"."</f>
        <v>1)  Load Scheduling &amp; Dispatch Charges in account 561 that are collected in the OATT Ancillary Services Revenue, as shown on line 75.</v>
      </c>
      <c r="E294" s="387"/>
      <c r="F294" s="387"/>
      <c r="G294" s="387"/>
      <c r="H294" s="387"/>
      <c r="I294" s="387"/>
      <c r="J294" s="387"/>
      <c r="K294" s="387"/>
      <c r="L294" s="387"/>
      <c r="M294" s="327"/>
      <c r="N294" s="327"/>
      <c r="O294" s="327"/>
      <c r="P294" s="327"/>
      <c r="Q294" s="327"/>
      <c r="R294" s="327"/>
      <c r="S294" s="327"/>
      <c r="T294" s="327"/>
      <c r="U294" s="327"/>
    </row>
    <row r="295" spans="2:21">
      <c r="B295" s="341"/>
      <c r="C295" s="353"/>
      <c r="D295" s="511" t="str">
        <f>+"2)  Costs of Transmission of Electricity by Others, as described in Note H."</f>
        <v>2)  Costs of Transmission of Electricity by Others, as described in Note H.</v>
      </c>
      <c r="E295" s="509"/>
      <c r="F295" s="509"/>
      <c r="G295" s="509"/>
      <c r="H295" s="509"/>
      <c r="I295" s="509"/>
      <c r="J295" s="509"/>
      <c r="K295" s="509"/>
      <c r="L295" s="509"/>
      <c r="M295" s="327"/>
      <c r="N295" s="327"/>
      <c r="O295" s="327"/>
      <c r="P295" s="327"/>
      <c r="Q295" s="327"/>
      <c r="R295" s="327"/>
      <c r="S295" s="327"/>
      <c r="T295" s="327"/>
      <c r="U295" s="327"/>
    </row>
    <row r="296" spans="2:21">
      <c r="B296" s="341"/>
      <c r="C296" s="353"/>
      <c r="D296" s="510" t="str">
        <f>+"3)  The impact of state regulatory deferrals and amortizations, as shown on line  "&amp;B148&amp;""</f>
        <v>3)  The impact of state regulatory deferrals and amortizations, as shown on line  77</v>
      </c>
      <c r="E296" s="387"/>
      <c r="F296" s="387"/>
      <c r="G296" s="387"/>
      <c r="H296" s="387"/>
      <c r="I296" s="387"/>
      <c r="J296" s="387"/>
      <c r="K296" s="387"/>
      <c r="L296" s="387"/>
      <c r="M296" s="327"/>
      <c r="N296" s="327"/>
      <c r="O296" s="327"/>
      <c r="P296" s="327"/>
      <c r="Q296" s="327"/>
      <c r="R296" s="327"/>
      <c r="S296" s="327"/>
      <c r="T296" s="327"/>
      <c r="U296" s="327"/>
    </row>
    <row r="297" spans="2:21">
      <c r="B297" s="341"/>
      <c r="C297" s="387"/>
      <c r="D297" s="511" t="str">
        <f>"4) All A&amp;G Expenses, as shown on line "&amp;B165&amp;"."</f>
        <v>4) All A&amp;G Expenses, as shown on line 93.</v>
      </c>
      <c r="E297" s="509"/>
      <c r="F297" s="509"/>
      <c r="G297" s="509"/>
      <c r="H297" s="509"/>
      <c r="I297" s="509"/>
      <c r="J297" s="509"/>
      <c r="K297" s="509"/>
      <c r="L297" s="509"/>
      <c r="M297" s="327"/>
      <c r="N297" s="327"/>
      <c r="O297" s="327"/>
      <c r="P297" s="327"/>
      <c r="Q297" s="327"/>
      <c r="R297" s="327"/>
      <c r="S297" s="327"/>
      <c r="T297" s="327"/>
      <c r="U297" s="327"/>
    </row>
    <row r="298" spans="2:21">
      <c r="B298" s="341"/>
      <c r="C298" s="342"/>
      <c r="D298" s="510"/>
      <c r="E298" s="512"/>
      <c r="F298" s="512"/>
      <c r="G298" s="512"/>
      <c r="H298" s="512"/>
      <c r="I298" s="512"/>
      <c r="J298" s="512"/>
      <c r="K298" s="512"/>
      <c r="L298" s="512"/>
      <c r="M298" s="327"/>
      <c r="N298" s="327"/>
      <c r="O298" s="327"/>
      <c r="P298" s="327"/>
      <c r="Q298" s="327"/>
      <c r="R298" s="327"/>
      <c r="S298" s="327"/>
      <c r="T298" s="327"/>
      <c r="U298" s="327"/>
    </row>
    <row r="299" spans="2:21">
      <c r="B299" s="504" t="s">
        <v>153</v>
      </c>
      <c r="C299" s="412"/>
      <c r="D299" s="513" t="str">
        <f>"Consistent with Paragraph 657 of Order 2003-A, the amount on line "&amp;B123&amp;" is equal to the balance of IPP System Upgrade Credits owed to transmission customers that"</f>
        <v>Consistent with Paragraph 657 of Order 2003-A, the amount on line 67 is equal to the balance of IPP System Upgrade Credits owed to transmission customers that</v>
      </c>
      <c r="E299" s="513"/>
      <c r="F299" s="513"/>
      <c r="G299" s="513"/>
      <c r="H299" s="513"/>
      <c r="I299" s="513"/>
      <c r="J299" s="513"/>
      <c r="K299" s="513"/>
      <c r="L299" s="513"/>
      <c r="M299" s="327"/>
      <c r="N299" s="327"/>
      <c r="O299" s="327"/>
      <c r="P299" s="327"/>
      <c r="Q299" s="327"/>
      <c r="R299" s="327"/>
      <c r="S299" s="327"/>
      <c r="T299" s="327"/>
      <c r="U299" s="327"/>
    </row>
    <row r="300" spans="2:21">
      <c r="B300" s="505"/>
      <c r="C300" s="307"/>
      <c r="D300" s="513" t="s">
        <v>218</v>
      </c>
      <c r="E300" s="513"/>
      <c r="F300" s="513"/>
      <c r="G300" s="513"/>
      <c r="H300" s="513"/>
      <c r="I300" s="513"/>
      <c r="J300" s="513"/>
      <c r="K300" s="513"/>
      <c r="L300" s="513"/>
      <c r="M300" s="327"/>
      <c r="N300" s="327"/>
      <c r="O300" s="327"/>
      <c r="P300" s="327"/>
      <c r="Q300" s="327"/>
      <c r="R300" s="327"/>
      <c r="S300" s="327"/>
      <c r="T300" s="327"/>
      <c r="U300" s="327"/>
    </row>
    <row r="301" spans="2:21">
      <c r="B301" s="505"/>
      <c r="C301" s="307"/>
      <c r="D301" s="513" t="str">
        <f>"expense is included on line "&amp;B207&amp;"."</f>
        <v>expense is included on line 127.</v>
      </c>
      <c r="E301" s="513"/>
      <c r="F301" s="513"/>
      <c r="G301" s="513"/>
      <c r="H301" s="513"/>
      <c r="I301" s="513"/>
      <c r="J301" s="513"/>
      <c r="K301" s="513"/>
      <c r="L301" s="513"/>
      <c r="M301" s="327"/>
      <c r="N301" s="327"/>
      <c r="O301" s="327"/>
      <c r="P301" s="327"/>
      <c r="Q301" s="327"/>
      <c r="R301" s="327"/>
      <c r="S301" s="327"/>
      <c r="T301" s="327"/>
      <c r="U301" s="327"/>
    </row>
    <row r="302" spans="2:21">
      <c r="B302" s="505"/>
      <c r="C302" s="307"/>
      <c r="D302" s="513"/>
      <c r="E302" s="513"/>
      <c r="F302" s="513"/>
      <c r="G302" s="513"/>
      <c r="H302" s="513"/>
      <c r="I302" s="513"/>
      <c r="J302" s="513"/>
      <c r="K302" s="513"/>
      <c r="L302" s="513"/>
      <c r="M302" s="307"/>
      <c r="N302" s="327"/>
      <c r="O302" s="327"/>
      <c r="P302" s="327"/>
      <c r="Q302" s="327"/>
      <c r="R302" s="327"/>
      <c r="S302" s="327"/>
      <c r="T302" s="327"/>
      <c r="U302" s="327"/>
    </row>
    <row r="303" spans="2:21">
      <c r="B303" s="504" t="s">
        <v>154</v>
      </c>
      <c r="C303" s="307"/>
      <c r="D303" s="1535" t="str">
        <f>"Removes from the cost of service the Load Scheduling and Dispatch expenses booked to accounts 561.1 through 561.8.  Expenses recorded in these accounts, with the exception of 561.4 &amp; 561.8 (lines "&amp;B45&amp;" &amp; "&amp;B46&amp;" above) are recovered in Schedule 1A, OATT ancillary services rates. See Worksheet F, lines "&amp;'WS F Misc Exp'!A24&amp;" through "&amp;'WS F Misc Exp'!A33&amp;", for descriptions and the Form 1 Source of these accounts' balances."</f>
        <v>Removes from the cost of service the Load Scheduling and Dispatch expenses booked to accounts 561.1 through 561.8.  Expenses recorded in these accounts, with the exception of 561.4 &amp; 561.8 (lines 16 &amp; 17 above) are recovered in Schedule 1A, OATT ancillary services rates. See Worksheet F, lines 5 through 14, for descriptions and the Form 1 Source of these accounts' balances.</v>
      </c>
      <c r="E303" s="1535"/>
      <c r="F303" s="1535"/>
      <c r="G303" s="1535"/>
      <c r="H303" s="1535"/>
      <c r="I303" s="1535"/>
      <c r="J303" s="1535"/>
      <c r="K303" s="1535"/>
      <c r="L303" s="513"/>
      <c r="M303" s="307"/>
      <c r="N303" s="327"/>
      <c r="O303" s="327"/>
      <c r="P303" s="327"/>
      <c r="Q303" s="327"/>
      <c r="R303" s="327"/>
      <c r="S303" s="327"/>
      <c r="T303" s="327"/>
      <c r="U303" s="327"/>
    </row>
    <row r="304" spans="2:21">
      <c r="B304" s="504"/>
      <c r="C304" s="307"/>
      <c r="D304" s="1535"/>
      <c r="E304" s="1535"/>
      <c r="F304" s="1535"/>
      <c r="G304" s="1535"/>
      <c r="H304" s="1535"/>
      <c r="I304" s="1535"/>
      <c r="J304" s="1535"/>
      <c r="K304" s="1535"/>
      <c r="L304" s="513"/>
      <c r="M304" s="307"/>
      <c r="N304" s="327"/>
      <c r="O304" s="327"/>
      <c r="P304" s="327"/>
      <c r="Q304" s="327"/>
      <c r="R304" s="327"/>
      <c r="S304" s="327"/>
      <c r="T304" s="327"/>
      <c r="U304" s="327"/>
    </row>
    <row r="305" spans="2:21">
      <c r="B305" s="504"/>
      <c r="C305" s="307"/>
      <c r="D305" s="1535"/>
      <c r="E305" s="1535"/>
      <c r="F305" s="1535"/>
      <c r="G305" s="1535"/>
      <c r="H305" s="1535"/>
      <c r="I305" s="1535"/>
      <c r="J305" s="1535"/>
      <c r="K305" s="1535"/>
      <c r="L305" s="513"/>
      <c r="M305" s="307"/>
      <c r="N305" s="327"/>
      <c r="O305" s="327"/>
      <c r="P305" s="327"/>
      <c r="Q305" s="327"/>
      <c r="R305" s="327"/>
      <c r="S305" s="327"/>
      <c r="T305" s="327"/>
      <c r="U305" s="327"/>
    </row>
    <row r="306" spans="2:21">
      <c r="B306" s="504"/>
      <c r="C306" s="307"/>
      <c r="D306" s="510"/>
      <c r="E306" s="513"/>
      <c r="F306" s="513"/>
      <c r="G306" s="513"/>
      <c r="H306" s="513"/>
      <c r="I306" s="513"/>
      <c r="J306" s="513"/>
      <c r="K306" s="513"/>
      <c r="L306" s="513"/>
      <c r="M306" s="307"/>
      <c r="N306" s="327"/>
      <c r="O306" s="327"/>
      <c r="P306" s="327"/>
      <c r="Q306" s="327"/>
      <c r="R306" s="327"/>
      <c r="S306" s="327"/>
      <c r="T306" s="327"/>
      <c r="U306" s="327"/>
    </row>
    <row r="307" spans="2:21">
      <c r="B307" s="504" t="s">
        <v>155</v>
      </c>
      <c r="C307" s="307"/>
      <c r="D307" s="1544" t="str">
        <f>"Removes cost of transmission service provided by others to determine the basis of cash working capital on line "&amp;B149&amp;". To the extent such service is incurred to provide the PJM service at issue, e.g. lease payments to affiliates, such cost is added back on line "&amp;B168&amp;" to determine the total O&amp;M collected in the formula.  The amounts on line "&amp;B168&amp;" is also excluded in the calculation of the FCR percentage calculated on lines "&amp;B29&amp;" through "&amp;B37&amp;"."</f>
        <v>Removes cost of transmission service provided by others to determine the basis of cash working capital on line 78. To the extent such service is incurred to provide the PJM service at issue, e.g. lease payments to affiliates, such cost is added back on line 95 to determine the total O&amp;M collected in the formula.  The amounts on line 95 is also excluded in the calculation of the FCR percentage calculated on lines 6 through 12.</v>
      </c>
      <c r="E307" s="1544"/>
      <c r="F307" s="1544"/>
      <c r="G307" s="1544"/>
      <c r="H307" s="1544"/>
      <c r="I307" s="1544"/>
      <c r="J307" s="1544"/>
      <c r="K307" s="1544"/>
      <c r="L307" s="513"/>
      <c r="M307" s="307"/>
      <c r="N307" s="327"/>
      <c r="O307" s="327"/>
      <c r="P307" s="327"/>
      <c r="Q307" s="327"/>
      <c r="R307" s="327"/>
      <c r="S307" s="327"/>
      <c r="T307" s="327"/>
      <c r="U307" s="327"/>
    </row>
    <row r="308" spans="2:21">
      <c r="B308" s="504"/>
      <c r="C308" s="307"/>
      <c r="D308" s="1544"/>
      <c r="E308" s="1544"/>
      <c r="F308" s="1544"/>
      <c r="G308" s="1544"/>
      <c r="H308" s="1544"/>
      <c r="I308" s="1544"/>
      <c r="J308" s="1544"/>
      <c r="K308" s="1544"/>
      <c r="L308" s="513"/>
      <c r="M308" s="307"/>
      <c r="N308" s="327"/>
      <c r="O308" s="327"/>
      <c r="P308" s="327"/>
      <c r="Q308" s="327"/>
      <c r="R308" s="327"/>
      <c r="S308" s="327"/>
      <c r="T308" s="327"/>
      <c r="U308" s="327"/>
    </row>
    <row r="309" spans="2:21">
      <c r="B309" s="504"/>
      <c r="C309" s="307"/>
      <c r="D309" s="1545"/>
      <c r="E309" s="1545"/>
      <c r="F309" s="1545"/>
      <c r="G309" s="1545"/>
      <c r="H309" s="1545"/>
      <c r="I309" s="1545"/>
      <c r="J309" s="1545"/>
      <c r="K309" s="1545"/>
      <c r="L309" s="513"/>
      <c r="M309" s="307"/>
      <c r="N309" s="327"/>
      <c r="O309" s="327"/>
      <c r="P309" s="327"/>
      <c r="Q309" s="327"/>
      <c r="R309" s="327"/>
      <c r="S309" s="327"/>
      <c r="T309" s="327"/>
      <c r="U309" s="327"/>
    </row>
    <row r="310" spans="2:21">
      <c r="B310" s="504"/>
      <c r="C310" s="307"/>
      <c r="D310" s="1528" t="str">
        <f>"The addbacks  on line "&amp;B168&amp;" of activity recorded in 565 represents inter-company sales or purchases of transmission capacity necessary to meet each AEP company's transmission load relative to their available transmission capacity."</f>
        <v>The addbacks  on line 95 of activity recorded in 565 represents inter-company sales or purchases of transmission capacity necessary to meet each AEP company's transmission load relative to their available transmission capacity.</v>
      </c>
      <c r="E310" s="1528"/>
      <c r="F310" s="1528"/>
      <c r="G310" s="1528"/>
      <c r="H310" s="1528"/>
      <c r="I310" s="1528"/>
      <c r="J310" s="1528"/>
      <c r="K310" s="514"/>
      <c r="L310" s="513"/>
      <c r="M310" s="307"/>
      <c r="N310" s="327"/>
      <c r="O310" s="327"/>
      <c r="P310" s="327"/>
      <c r="Q310" s="327"/>
      <c r="R310" s="327"/>
      <c r="S310" s="327"/>
      <c r="T310" s="327"/>
      <c r="U310" s="327"/>
    </row>
    <row r="311" spans="2:21">
      <c r="B311" s="504"/>
      <c r="C311" s="307"/>
      <c r="D311" s="1528"/>
      <c r="E311" s="1528"/>
      <c r="F311" s="1528"/>
      <c r="G311" s="1528"/>
      <c r="H311" s="1528"/>
      <c r="I311" s="1528"/>
      <c r="J311" s="1528"/>
      <c r="K311" s="514"/>
      <c r="L311" s="513"/>
      <c r="M311" s="307"/>
      <c r="N311" s="327"/>
      <c r="O311" s="327"/>
      <c r="P311" s="327"/>
      <c r="Q311" s="327"/>
      <c r="R311" s="327"/>
      <c r="S311" s="327"/>
      <c r="T311" s="327"/>
      <c r="U311" s="327"/>
    </row>
    <row r="312" spans="2:21">
      <c r="B312" s="504"/>
      <c r="C312" s="307"/>
      <c r="D312" s="513" t="str">
        <f>"The company records referenced on line "&amp;B168&amp;" is the "&amp;F9&amp;" general ledger."</f>
        <v>The company records referenced on line 95 is the WHEELING POWER COMPANY general ledger.</v>
      </c>
      <c r="E312" s="515"/>
      <c r="F312" s="515"/>
      <c r="G312" s="515"/>
      <c r="H312" s="515"/>
      <c r="I312" s="515"/>
      <c r="J312" s="515"/>
      <c r="K312" s="515"/>
      <c r="L312" s="513"/>
      <c r="M312" s="307"/>
      <c r="N312" s="327"/>
      <c r="O312" s="327"/>
      <c r="P312" s="327"/>
      <c r="Q312" s="327"/>
      <c r="R312" s="327"/>
      <c r="S312" s="327"/>
      <c r="T312" s="327"/>
      <c r="U312" s="327"/>
    </row>
    <row r="313" spans="2:21">
      <c r="B313" s="504"/>
      <c r="C313" s="307"/>
      <c r="D313" s="513"/>
      <c r="E313" s="515"/>
      <c r="F313" s="515"/>
      <c r="G313" s="515"/>
      <c r="H313" s="515"/>
      <c r="I313" s="515"/>
      <c r="J313" s="515"/>
      <c r="K313" s="515"/>
      <c r="L313" s="513"/>
      <c r="M313" s="307"/>
      <c r="N313" s="327"/>
      <c r="O313" s="327"/>
      <c r="P313" s="327"/>
      <c r="Q313" s="327"/>
      <c r="R313" s="327"/>
      <c r="S313" s="327"/>
      <c r="T313" s="327"/>
      <c r="U313" s="327"/>
    </row>
    <row r="314" spans="2:21">
      <c r="B314" s="504" t="s">
        <v>156</v>
      </c>
      <c r="C314" s="307"/>
      <c r="D314" s="307" t="s">
        <v>579</v>
      </c>
      <c r="E314" s="357"/>
      <c r="F314" s="357"/>
      <c r="G314" s="357"/>
      <c r="H314" s="357"/>
      <c r="I314" s="357"/>
      <c r="J314" s="357"/>
      <c r="K314" s="357"/>
      <c r="L314" s="516"/>
      <c r="M314" s="307"/>
      <c r="N314" s="327"/>
      <c r="O314" s="327"/>
      <c r="P314" s="327"/>
      <c r="Q314" s="327"/>
      <c r="R314" s="327"/>
      <c r="S314" s="327"/>
      <c r="T314" s="327"/>
      <c r="U314" s="327"/>
    </row>
    <row r="315" spans="2:21">
      <c r="B315" s="504"/>
      <c r="C315" s="307"/>
      <c r="D315" s="516"/>
      <c r="E315" s="516"/>
      <c r="F315" s="516"/>
      <c r="G315" s="516"/>
      <c r="H315" s="516"/>
      <c r="I315" s="516"/>
      <c r="J315" s="516"/>
      <c r="K315" s="516"/>
      <c r="L315" s="516"/>
      <c r="M315" s="307"/>
      <c r="N315" s="327"/>
      <c r="O315" s="327"/>
      <c r="P315" s="327"/>
      <c r="Q315" s="327"/>
      <c r="R315" s="327"/>
      <c r="S315" s="327"/>
      <c r="T315" s="327"/>
      <c r="U315" s="327"/>
    </row>
    <row r="316" spans="2:21">
      <c r="B316" s="504" t="s">
        <v>157</v>
      </c>
      <c r="C316" s="307"/>
      <c r="D316" s="1532" t="s">
        <v>48</v>
      </c>
      <c r="E316" s="1533"/>
      <c r="F316" s="1533"/>
      <c r="G316" s="1533"/>
      <c r="H316" s="1533"/>
      <c r="I316" s="1533"/>
      <c r="J316" s="1533"/>
      <c r="K316" s="513"/>
      <c r="L316" s="513"/>
      <c r="M316" s="307"/>
      <c r="N316" s="327"/>
      <c r="O316" s="327"/>
      <c r="P316" s="327"/>
      <c r="Q316" s="327"/>
      <c r="R316" s="327"/>
      <c r="S316" s="327"/>
      <c r="T316" s="327"/>
      <c r="U316" s="327"/>
    </row>
    <row r="317" spans="2:21">
      <c r="B317" s="504"/>
      <c r="C317" s="307"/>
      <c r="D317" s="1534"/>
      <c r="E317" s="1534"/>
      <c r="F317" s="1534"/>
      <c r="G317" s="1534"/>
      <c r="H317" s="1534"/>
      <c r="I317" s="1534"/>
      <c r="J317" s="1534"/>
      <c r="K317" s="516"/>
      <c r="L317" s="516"/>
      <c r="M317" s="307"/>
      <c r="N317" s="327"/>
      <c r="O317" s="327"/>
      <c r="P317" s="327"/>
      <c r="Q317" s="327"/>
      <c r="R317" s="327"/>
      <c r="S317" s="327"/>
      <c r="T317" s="327"/>
      <c r="U317" s="327"/>
    </row>
    <row r="318" spans="2:21">
      <c r="B318" s="504"/>
      <c r="C318" s="307"/>
      <c r="D318" s="1533"/>
      <c r="E318" s="1533"/>
      <c r="F318" s="1533"/>
      <c r="G318" s="1533"/>
      <c r="H318" s="1533"/>
      <c r="I318" s="1533"/>
      <c r="J318" s="1533"/>
      <c r="K318" s="513"/>
      <c r="L318" s="513"/>
      <c r="M318" s="307"/>
      <c r="N318" s="327"/>
      <c r="O318" s="327"/>
      <c r="P318" s="327"/>
      <c r="Q318" s="327"/>
      <c r="R318" s="327"/>
      <c r="S318" s="327"/>
      <c r="T318" s="327"/>
      <c r="U318" s="327"/>
    </row>
    <row r="319" spans="2:21">
      <c r="B319" s="504"/>
      <c r="C319" s="307"/>
      <c r="D319" s="513"/>
      <c r="E319" s="513"/>
      <c r="F319" s="513"/>
      <c r="G319" s="513"/>
      <c r="H319" s="513"/>
      <c r="I319" s="513"/>
      <c r="J319" s="513"/>
      <c r="K319" s="513"/>
      <c r="L319" s="513"/>
      <c r="M319" s="307"/>
      <c r="N319" s="327"/>
      <c r="O319" s="327"/>
      <c r="P319" s="327"/>
      <c r="Q319" s="327"/>
      <c r="R319" s="327"/>
      <c r="S319" s="327"/>
      <c r="T319" s="327"/>
      <c r="U319" s="327"/>
    </row>
    <row r="320" spans="2:21" ht="15.75">
      <c r="B320" s="1089" t="s">
        <v>158</v>
      </c>
      <c r="C320" s="1090"/>
      <c r="D320" s="1526" t="s">
        <v>857</v>
      </c>
      <c r="E320" s="1527"/>
      <c r="F320" s="1527"/>
      <c r="G320" s="1527"/>
      <c r="H320" s="1527"/>
      <c r="I320" s="1527"/>
      <c r="J320" s="1527"/>
      <c r="K320" s="1527"/>
      <c r="L320" s="516"/>
      <c r="M320" s="307"/>
      <c r="N320" s="327"/>
      <c r="O320" s="327"/>
      <c r="P320" s="327"/>
      <c r="Q320" s="327"/>
      <c r="R320" s="327"/>
      <c r="S320" s="327"/>
      <c r="T320" s="327"/>
      <c r="U320" s="327"/>
    </row>
    <row r="321" spans="2:21" ht="15.75">
      <c r="B321" s="1056"/>
      <c r="C321" s="1090"/>
      <c r="D321" s="1527"/>
      <c r="E321" s="1527"/>
      <c r="F321" s="1527"/>
      <c r="G321" s="1527"/>
      <c r="H321" s="1527"/>
      <c r="I321" s="1527"/>
      <c r="J321" s="1527"/>
      <c r="K321" s="1527"/>
      <c r="L321" s="513"/>
      <c r="M321" s="307"/>
      <c r="N321" s="327"/>
      <c r="O321" s="327"/>
      <c r="P321" s="327"/>
      <c r="Q321" s="327"/>
      <c r="R321" s="327"/>
      <c r="S321" s="327"/>
      <c r="T321" s="327"/>
      <c r="U321" s="327"/>
    </row>
    <row r="322" spans="2:21">
      <c r="B322" s="504"/>
      <c r="C322" s="307"/>
      <c r="D322" s="513"/>
      <c r="E322" s="513"/>
      <c r="F322" s="513"/>
      <c r="G322" s="513"/>
      <c r="H322" s="513"/>
      <c r="I322" s="513"/>
      <c r="J322" s="513"/>
      <c r="K322" s="513"/>
      <c r="L322" s="513"/>
      <c r="M322" s="307"/>
      <c r="N322" s="327"/>
      <c r="O322" s="327"/>
      <c r="P322" s="327"/>
      <c r="Q322" s="327"/>
      <c r="R322" s="327"/>
      <c r="S322" s="327"/>
      <c r="T322" s="327"/>
      <c r="U322" s="327"/>
    </row>
    <row r="323" spans="2:21">
      <c r="B323" s="341" t="s">
        <v>159</v>
      </c>
      <c r="C323" s="342"/>
      <c r="D323" s="1540" t="s">
        <v>580</v>
      </c>
      <c r="E323" s="1540"/>
      <c r="F323" s="1540"/>
      <c r="G323" s="1540"/>
      <c r="H323" s="1540"/>
      <c r="I323" s="1540"/>
      <c r="J323" s="1540"/>
      <c r="K323" s="1540"/>
      <c r="L323" s="1540"/>
      <c r="M323" s="307"/>
      <c r="N323" s="327"/>
      <c r="O323" s="327"/>
      <c r="P323" s="327"/>
      <c r="Q323" s="327"/>
      <c r="R323" s="327"/>
      <c r="S323" s="327"/>
      <c r="T323" s="327"/>
      <c r="U323" s="327"/>
    </row>
    <row r="324" spans="2:21">
      <c r="B324" s="341"/>
      <c r="C324" s="342"/>
      <c r="D324" s="1540"/>
      <c r="E324" s="1540"/>
      <c r="F324" s="1540"/>
      <c r="G324" s="1540"/>
      <c r="H324" s="1540"/>
      <c r="I324" s="1540"/>
      <c r="J324" s="1540"/>
      <c r="K324" s="1540"/>
      <c r="L324" s="1540"/>
      <c r="M324" s="307"/>
      <c r="N324" s="327"/>
      <c r="O324" s="327"/>
      <c r="P324" s="327"/>
      <c r="Q324" s="327"/>
      <c r="R324" s="327"/>
      <c r="S324" s="327"/>
      <c r="T324" s="327"/>
      <c r="U324" s="327"/>
    </row>
    <row r="325" spans="2:21">
      <c r="B325" s="341"/>
      <c r="C325" s="342"/>
      <c r="D325" s="1540"/>
      <c r="E325" s="1540"/>
      <c r="F325" s="1540"/>
      <c r="G325" s="1540"/>
      <c r="H325" s="1540"/>
      <c r="I325" s="1540"/>
      <c r="J325" s="1540"/>
      <c r="K325" s="1540"/>
      <c r="L325" s="1540"/>
      <c r="M325" s="307"/>
      <c r="N325" s="327"/>
      <c r="O325" s="327"/>
      <c r="P325" s="327"/>
      <c r="Q325" s="327"/>
      <c r="R325" s="327"/>
      <c r="S325" s="327"/>
      <c r="T325" s="327"/>
      <c r="U325" s="327"/>
    </row>
    <row r="326" spans="2:21">
      <c r="B326" s="341"/>
      <c r="C326" s="342"/>
      <c r="D326" s="1540"/>
      <c r="E326" s="1540"/>
      <c r="F326" s="1540"/>
      <c r="G326" s="1540"/>
      <c r="H326" s="1540"/>
      <c r="I326" s="1540"/>
      <c r="J326" s="1540"/>
      <c r="K326" s="1540"/>
      <c r="L326" s="1540"/>
      <c r="M326" s="307"/>
      <c r="N326" s="327"/>
      <c r="O326" s="327"/>
      <c r="P326" s="327"/>
      <c r="Q326" s="327"/>
      <c r="R326" s="327"/>
      <c r="S326" s="327"/>
      <c r="T326" s="327"/>
      <c r="U326" s="327"/>
    </row>
    <row r="327" spans="2:21">
      <c r="B327" s="341"/>
      <c r="C327" s="342"/>
      <c r="D327" s="513"/>
      <c r="E327" s="512"/>
      <c r="F327" s="512"/>
      <c r="G327" s="512"/>
      <c r="H327" s="512"/>
      <c r="I327" s="512"/>
      <c r="J327" s="512"/>
      <c r="K327" s="512"/>
      <c r="L327" s="512"/>
      <c r="M327" s="307"/>
      <c r="N327" s="327"/>
      <c r="O327" s="327"/>
      <c r="P327" s="327"/>
      <c r="Q327" s="327"/>
      <c r="R327" s="327"/>
      <c r="S327" s="327"/>
      <c r="T327" s="327"/>
      <c r="U327" s="327"/>
    </row>
    <row r="328" spans="2:21" ht="15" customHeight="1">
      <c r="B328" s="341" t="s">
        <v>160</v>
      </c>
      <c r="C328" s="342"/>
      <c r="D328" s="1529" t="s">
        <v>855</v>
      </c>
      <c r="E328" s="1530"/>
      <c r="F328" s="1530"/>
      <c r="G328" s="1530"/>
      <c r="H328" s="1530"/>
      <c r="I328" s="1530"/>
      <c r="J328" s="1530"/>
      <c r="K328" s="1530"/>
      <c r="L328" s="1531"/>
      <c r="M328" s="307"/>
      <c r="N328" s="327"/>
      <c r="O328" s="327"/>
      <c r="P328" s="327"/>
      <c r="Q328" s="327"/>
      <c r="R328" s="327"/>
      <c r="S328" s="327"/>
      <c r="T328" s="327"/>
      <c r="U328" s="327"/>
    </row>
    <row r="329" spans="2:21">
      <c r="B329" s="341"/>
      <c r="C329" s="342"/>
      <c r="D329" s="1530"/>
      <c r="E329" s="1530"/>
      <c r="F329" s="1530"/>
      <c r="G329" s="1530"/>
      <c r="H329" s="1530"/>
      <c r="I329" s="1530"/>
      <c r="J329" s="1530"/>
      <c r="K329" s="1530"/>
      <c r="L329" s="1531"/>
      <c r="M329" s="307"/>
      <c r="N329" s="327"/>
      <c r="O329" s="327"/>
      <c r="P329" s="327"/>
      <c r="Q329" s="327"/>
      <c r="R329" s="327"/>
      <c r="S329" s="327"/>
      <c r="T329" s="327"/>
      <c r="U329" s="327"/>
    </row>
    <row r="330" spans="2:21">
      <c r="B330" s="341"/>
      <c r="C330" s="342"/>
      <c r="D330" s="1531"/>
      <c r="E330" s="1531"/>
      <c r="F330" s="1531"/>
      <c r="G330" s="1531"/>
      <c r="H330" s="1531"/>
      <c r="I330" s="1531"/>
      <c r="J330" s="1531"/>
      <c r="K330" s="1531"/>
      <c r="L330" s="1531"/>
      <c r="M330" s="307"/>
      <c r="N330" s="327"/>
      <c r="O330" s="327"/>
      <c r="P330" s="327"/>
      <c r="Q330" s="327"/>
      <c r="R330" s="327"/>
      <c r="S330" s="327"/>
      <c r="T330" s="327"/>
      <c r="U330" s="327"/>
    </row>
    <row r="331" spans="2:21">
      <c r="B331" s="341"/>
      <c r="C331" s="342"/>
      <c r="D331" s="456"/>
      <c r="E331" s="327"/>
      <c r="F331" s="327"/>
      <c r="G331" s="327"/>
      <c r="H331" s="327"/>
      <c r="I331" s="327"/>
      <c r="J331" s="327"/>
      <c r="K331" s="327"/>
      <c r="L331" s="327"/>
      <c r="M331" s="307"/>
      <c r="N331" s="327"/>
      <c r="O331" s="327"/>
      <c r="P331" s="327"/>
      <c r="Q331" s="327"/>
      <c r="R331" s="327"/>
      <c r="S331" s="327"/>
      <c r="T331" s="327"/>
      <c r="U331" s="327"/>
    </row>
    <row r="332" spans="2:21">
      <c r="B332" s="411" t="s">
        <v>245</v>
      </c>
      <c r="C332" s="342"/>
      <c r="D332" s="353" t="s">
        <v>355</v>
      </c>
      <c r="E332" s="310"/>
      <c r="F332" s="310"/>
      <c r="G332" s="310"/>
      <c r="H332" s="310"/>
      <c r="I332" s="310"/>
      <c r="J332" s="310"/>
      <c r="K332" s="307"/>
      <c r="L332" s="307"/>
      <c r="M332" s="307"/>
      <c r="N332" s="327"/>
      <c r="O332" s="327"/>
      <c r="P332" s="327"/>
      <c r="Q332" s="327"/>
      <c r="R332" s="327"/>
      <c r="S332" s="327"/>
      <c r="T332" s="327"/>
      <c r="U332" s="327"/>
    </row>
    <row r="333" spans="2:21">
      <c r="B333" s="411"/>
      <c r="C333" s="342"/>
      <c r="D333" s="310"/>
      <c r="E333" s="310"/>
      <c r="F333" s="310"/>
      <c r="G333" s="310"/>
      <c r="H333" s="310"/>
      <c r="I333" s="310"/>
      <c r="J333" s="310"/>
      <c r="K333" s="307"/>
      <c r="L333" s="307"/>
      <c r="M333" s="307"/>
      <c r="N333" s="327"/>
      <c r="O333" s="327"/>
      <c r="P333" s="327"/>
      <c r="Q333" s="327"/>
      <c r="R333" s="327"/>
      <c r="S333" s="327"/>
      <c r="T333" s="327"/>
      <c r="U333" s="327"/>
    </row>
    <row r="334" spans="2:21">
      <c r="B334" s="341" t="s">
        <v>304</v>
      </c>
      <c r="C334" s="342"/>
      <c r="D334" s="353" t="s">
        <v>344</v>
      </c>
      <c r="E334" s="307"/>
      <c r="F334" s="307"/>
      <c r="G334" s="307"/>
      <c r="H334" s="307"/>
      <c r="I334" s="307"/>
      <c r="J334" s="307"/>
      <c r="K334" s="307"/>
      <c r="L334" s="307"/>
      <c r="M334" s="307"/>
      <c r="N334" s="327"/>
      <c r="O334" s="327"/>
      <c r="P334" s="327"/>
      <c r="Q334" s="327"/>
      <c r="R334" s="327"/>
      <c r="S334" s="327"/>
      <c r="T334" s="327"/>
      <c r="U334" s="327"/>
    </row>
    <row r="335" spans="2:21">
      <c r="B335" s="411"/>
      <c r="C335" s="342"/>
      <c r="D335" s="353" t="s">
        <v>233</v>
      </c>
      <c r="E335" s="307"/>
      <c r="F335" s="307"/>
      <c r="G335" s="307"/>
      <c r="H335" s="307"/>
      <c r="I335" s="307"/>
      <c r="J335" s="307"/>
      <c r="K335" s="307"/>
      <c r="L335" s="307"/>
      <c r="M335" s="307"/>
      <c r="N335" s="327"/>
      <c r="O335" s="327"/>
      <c r="P335" s="327"/>
      <c r="Q335" s="327"/>
      <c r="R335" s="327"/>
      <c r="S335" s="327"/>
      <c r="T335" s="327"/>
      <c r="U335" s="327"/>
    </row>
    <row r="336" spans="2:21">
      <c r="B336" s="411"/>
      <c r="C336" s="342"/>
      <c r="D336" s="353" t="s">
        <v>234</v>
      </c>
      <c r="E336" s="307"/>
      <c r="F336" s="307"/>
      <c r="G336" s="307"/>
      <c r="H336" s="307"/>
      <c r="I336" s="307"/>
      <c r="J336" s="307"/>
      <c r="K336" s="307"/>
      <c r="L336" s="307"/>
      <c r="M336" s="307"/>
      <c r="N336" s="327"/>
      <c r="O336" s="327"/>
      <c r="P336" s="327"/>
      <c r="Q336" s="327"/>
      <c r="R336" s="327"/>
      <c r="S336" s="327"/>
      <c r="T336" s="327"/>
      <c r="U336" s="327"/>
    </row>
    <row r="337" spans="2:21">
      <c r="B337" s="411"/>
      <c r="C337" s="342"/>
      <c r="D337" s="353" t="s">
        <v>235</v>
      </c>
      <c r="E337" s="307"/>
      <c r="F337" s="307"/>
      <c r="G337" s="307"/>
      <c r="H337" s="307"/>
      <c r="I337" s="307"/>
      <c r="J337" s="307"/>
      <c r="K337" s="307"/>
      <c r="L337" s="307"/>
      <c r="M337" s="307"/>
      <c r="N337" s="327"/>
      <c r="O337" s="327"/>
      <c r="P337" s="327"/>
      <c r="Q337" s="327"/>
      <c r="R337" s="327"/>
      <c r="S337" s="327"/>
      <c r="T337" s="327"/>
      <c r="U337" s="327"/>
    </row>
    <row r="338" spans="2:21">
      <c r="B338" s="341"/>
      <c r="C338" s="342"/>
      <c r="D338" s="353" t="str">
        <f>"(ln "&amp;B194&amp;") multiplied by (1/1-T) .  If the applicable tax rates are zero enter 0."</f>
        <v>(ln 118) multiplied by (1/1-T) .  If the applicable tax rates are zero enter 0.</v>
      </c>
      <c r="H338" s="307"/>
      <c r="I338" s="307"/>
      <c r="J338" s="307"/>
      <c r="K338" s="307"/>
      <c r="L338" s="307"/>
      <c r="M338" s="307"/>
      <c r="N338" s="327"/>
      <c r="O338" s="327"/>
      <c r="P338" s="327"/>
      <c r="Q338" s="327"/>
      <c r="R338" s="327"/>
      <c r="S338" s="327"/>
      <c r="T338" s="327"/>
      <c r="U338" s="327"/>
    </row>
    <row r="339" spans="2:21">
      <c r="B339" s="517"/>
      <c r="C339" s="327"/>
      <c r="D339" s="353" t="s">
        <v>345</v>
      </c>
      <c r="E339" s="327" t="s">
        <v>346</v>
      </c>
      <c r="F339" s="830">
        <v>0.21</v>
      </c>
      <c r="G339" s="327"/>
      <c r="H339" s="307"/>
      <c r="I339" s="307"/>
      <c r="J339" s="307"/>
      <c r="K339" s="307"/>
      <c r="L339" s="307"/>
      <c r="M339" s="307"/>
      <c r="N339" s="327"/>
      <c r="O339" s="327"/>
      <c r="P339" s="327"/>
      <c r="Q339" s="327"/>
      <c r="R339" s="327"/>
      <c r="S339" s="327"/>
      <c r="T339" s="327"/>
      <c r="U339" s="327"/>
    </row>
    <row r="340" spans="2:21">
      <c r="B340" s="517"/>
      <c r="C340" s="327"/>
      <c r="D340" s="353"/>
      <c r="E340" s="327" t="s">
        <v>347</v>
      </c>
      <c r="F340" s="506">
        <f>'WS G  State Tax Rate'!F33</f>
        <v>6.3641000000000003E-2</v>
      </c>
      <c r="G340" s="327" t="s">
        <v>504</v>
      </c>
      <c r="H340" s="307"/>
      <c r="I340" s="307"/>
      <c r="J340" s="307"/>
      <c r="K340" s="307"/>
      <c r="L340" s="307"/>
      <c r="M340" s="307"/>
      <c r="N340" s="327"/>
      <c r="O340" s="327"/>
      <c r="P340" s="327"/>
      <c r="Q340" s="327"/>
      <c r="R340" s="327"/>
      <c r="S340" s="327"/>
      <c r="T340" s="327"/>
      <c r="U340" s="327"/>
    </row>
    <row r="341" spans="2:21">
      <c r="B341" s="517"/>
      <c r="C341" s="327"/>
      <c r="D341" s="353"/>
      <c r="E341" s="327" t="s">
        <v>348</v>
      </c>
      <c r="F341" s="830">
        <v>0</v>
      </c>
      <c r="G341" s="327" t="s">
        <v>349</v>
      </c>
      <c r="H341" s="307"/>
      <c r="I341" s="307"/>
      <c r="J341" s="307"/>
      <c r="K341" s="307"/>
      <c r="L341" s="307"/>
      <c r="M341" s="307"/>
      <c r="N341" s="327"/>
      <c r="O341" s="327"/>
      <c r="P341" s="327"/>
      <c r="Q341" s="327"/>
      <c r="R341" s="327"/>
      <c r="S341" s="327"/>
      <c r="T341" s="327"/>
      <c r="U341" s="327"/>
    </row>
    <row r="342" spans="2:21">
      <c r="B342" s="411"/>
      <c r="C342" s="342"/>
      <c r="D342" s="353" t="s">
        <v>590</v>
      </c>
      <c r="E342" s="307"/>
      <c r="F342" s="307"/>
      <c r="G342" s="307"/>
      <c r="H342" s="307"/>
      <c r="I342" s="307"/>
      <c r="J342" s="307"/>
      <c r="K342" s="307"/>
      <c r="L342" s="307"/>
      <c r="M342" s="327"/>
      <c r="N342" s="327"/>
      <c r="O342" s="327"/>
      <c r="P342" s="327"/>
      <c r="Q342" s="327"/>
      <c r="R342" s="327"/>
      <c r="S342" s="327"/>
      <c r="T342" s="327"/>
      <c r="U342" s="327"/>
    </row>
    <row r="343" spans="2:21">
      <c r="B343" s="411"/>
      <c r="C343" s="342"/>
      <c r="D343" s="353" t="s">
        <v>591</v>
      </c>
      <c r="E343" s="307"/>
      <c r="F343" s="307"/>
      <c r="G343" s="307"/>
      <c r="H343" s="307"/>
      <c r="I343" s="307"/>
      <c r="J343" s="307"/>
      <c r="K343" s="307"/>
      <c r="L343" s="307"/>
      <c r="M343" s="327"/>
      <c r="N343" s="327"/>
      <c r="O343" s="327"/>
      <c r="P343" s="327"/>
      <c r="Q343" s="327"/>
      <c r="R343" s="327"/>
      <c r="S343" s="327"/>
      <c r="T343" s="327"/>
      <c r="U343" s="327"/>
    </row>
    <row r="344" spans="2:21">
      <c r="B344" s="341" t="s">
        <v>350</v>
      </c>
      <c r="C344" s="342"/>
      <c r="D344" s="353" t="s">
        <v>224</v>
      </c>
      <c r="E344" s="307"/>
      <c r="F344" s="307"/>
      <c r="G344" s="307"/>
      <c r="H344" s="307"/>
      <c r="I344" s="307"/>
      <c r="J344" s="307"/>
      <c r="K344" s="307"/>
      <c r="L344" s="307"/>
      <c r="M344" s="307"/>
      <c r="N344" s="327"/>
      <c r="O344" s="327"/>
      <c r="P344" s="327"/>
      <c r="Q344" s="327"/>
      <c r="R344" s="327"/>
      <c r="S344" s="327"/>
      <c r="T344" s="327"/>
      <c r="U344" s="327"/>
    </row>
    <row r="345" spans="2:21">
      <c r="B345" s="302"/>
      <c r="D345" s="353"/>
      <c r="E345" s="307"/>
      <c r="F345" s="307"/>
      <c r="G345" s="307"/>
      <c r="H345" s="307"/>
      <c r="I345" s="307"/>
      <c r="J345" s="307"/>
      <c r="K345" s="307"/>
      <c r="L345" s="307"/>
      <c r="M345" s="307"/>
      <c r="N345" s="327"/>
      <c r="O345" s="327"/>
      <c r="P345" s="327"/>
      <c r="Q345" s="327"/>
      <c r="R345" s="327"/>
      <c r="S345" s="327"/>
      <c r="T345" s="327"/>
      <c r="U345" s="327"/>
    </row>
    <row r="346" spans="2:21">
      <c r="B346" s="341" t="s">
        <v>351</v>
      </c>
      <c r="C346" s="342"/>
      <c r="D346" s="353" t="s">
        <v>22</v>
      </c>
      <c r="E346" s="307"/>
      <c r="F346" s="307"/>
      <c r="G346" s="307"/>
      <c r="H346" s="307"/>
      <c r="I346" s="307"/>
      <c r="J346" s="307"/>
      <c r="K346" s="307"/>
      <c r="L346" s="307"/>
      <c r="M346" s="307"/>
      <c r="N346" s="327"/>
      <c r="O346" s="327"/>
      <c r="P346" s="327"/>
      <c r="Q346" s="327"/>
      <c r="R346" s="327"/>
      <c r="S346" s="327"/>
      <c r="T346" s="327"/>
      <c r="U346" s="327"/>
    </row>
    <row r="347" spans="2:21">
      <c r="B347" s="341"/>
      <c r="C347" s="342"/>
      <c r="D347" s="353"/>
      <c r="E347" s="327"/>
      <c r="F347" s="327"/>
      <c r="G347" s="327"/>
      <c r="H347" s="327"/>
      <c r="I347" s="327"/>
      <c r="J347" s="327"/>
      <c r="K347" s="327"/>
      <c r="L347" s="327"/>
      <c r="M347" s="327"/>
      <c r="N347" s="327"/>
      <c r="O347" s="327"/>
      <c r="P347" s="327"/>
      <c r="Q347" s="327"/>
      <c r="R347" s="327"/>
      <c r="S347" s="327"/>
      <c r="T347" s="327"/>
      <c r="U347" s="327"/>
    </row>
    <row r="348" spans="2:21">
      <c r="B348" s="341" t="s">
        <v>352</v>
      </c>
      <c r="C348" s="342"/>
      <c r="D348" s="353" t="s">
        <v>415</v>
      </c>
      <c r="E348" s="327"/>
      <c r="F348" s="327"/>
      <c r="G348" s="327"/>
      <c r="H348" s="327"/>
      <c r="I348" s="327"/>
      <c r="J348" s="327"/>
      <c r="K348" s="327"/>
      <c r="L348" s="327"/>
      <c r="M348" s="327"/>
      <c r="N348" s="327"/>
      <c r="O348" s="327"/>
      <c r="P348" s="327"/>
      <c r="Q348" s="327"/>
      <c r="R348" s="327"/>
      <c r="S348" s="327"/>
      <c r="T348" s="327"/>
      <c r="U348" s="327"/>
    </row>
    <row r="349" spans="2:21">
      <c r="B349" s="341"/>
      <c r="C349" s="342"/>
      <c r="D349" s="353"/>
      <c r="E349" s="327"/>
      <c r="F349" s="327"/>
      <c r="G349" s="327"/>
      <c r="H349" s="327"/>
      <c r="I349" s="327"/>
      <c r="J349" s="327"/>
      <c r="K349" s="327"/>
      <c r="L349" s="327"/>
      <c r="M349" s="327"/>
      <c r="N349" s="327"/>
      <c r="O349" s="327"/>
      <c r="P349" s="327"/>
      <c r="Q349" s="327"/>
      <c r="R349" s="327"/>
      <c r="S349" s="327"/>
      <c r="T349" s="327"/>
      <c r="U349" s="327"/>
    </row>
    <row r="350" spans="2:21">
      <c r="B350" s="504" t="s">
        <v>353</v>
      </c>
      <c r="C350" s="412"/>
      <c r="D350" s="353" t="s">
        <v>1181</v>
      </c>
      <c r="M350" s="327"/>
      <c r="N350" s="327"/>
      <c r="O350" s="327"/>
      <c r="P350" s="327"/>
      <c r="Q350" s="327"/>
      <c r="R350" s="327"/>
      <c r="S350" s="327"/>
      <c r="T350" s="327"/>
      <c r="U350" s="327"/>
    </row>
    <row r="351" spans="2:21">
      <c r="B351" s="505"/>
      <c r="C351" s="307"/>
      <c r="D351" s="353" t="s">
        <v>1182</v>
      </c>
      <c r="M351" s="327"/>
      <c r="N351" s="327"/>
      <c r="O351" s="327"/>
      <c r="P351" s="327"/>
      <c r="Q351" s="327"/>
      <c r="R351" s="327"/>
      <c r="S351" s="327"/>
      <c r="T351" s="327"/>
      <c r="U351" s="327"/>
    </row>
    <row r="352" spans="2:21" ht="15" customHeight="1">
      <c r="B352" s="505"/>
      <c r="C352" s="307"/>
      <c r="D352" s="1542" t="s">
        <v>1183</v>
      </c>
      <c r="E352" s="1542"/>
      <c r="F352" s="1542"/>
      <c r="G352" s="1542"/>
      <c r="H352" s="1542"/>
      <c r="I352" s="1542"/>
      <c r="J352" s="1542"/>
      <c r="K352" s="1542"/>
      <c r="L352" s="1542"/>
      <c r="M352" s="327"/>
      <c r="N352" s="327"/>
      <c r="O352" s="327"/>
      <c r="P352" s="327"/>
      <c r="Q352" s="327"/>
      <c r="R352" s="327"/>
      <c r="S352" s="327"/>
      <c r="T352" s="327"/>
      <c r="U352" s="327"/>
    </row>
    <row r="353" spans="2:21">
      <c r="B353" s="505"/>
      <c r="C353" s="307"/>
      <c r="D353" s="1542"/>
      <c r="E353" s="1542"/>
      <c r="F353" s="1542"/>
      <c r="G353" s="1542"/>
      <c r="H353" s="1542"/>
      <c r="I353" s="1542"/>
      <c r="J353" s="1542"/>
      <c r="K353" s="1542"/>
      <c r="L353" s="1542"/>
      <c r="M353" s="327"/>
      <c r="N353" s="327"/>
      <c r="O353" s="327"/>
      <c r="P353" s="327"/>
      <c r="Q353" s="327"/>
      <c r="R353" s="327"/>
      <c r="S353" s="327"/>
      <c r="T353" s="327"/>
      <c r="U353" s="327"/>
    </row>
    <row r="354" spans="2:21" ht="14.25" customHeight="1">
      <c r="B354" s="505"/>
      <c r="C354" s="307"/>
      <c r="D354" s="1542"/>
      <c r="E354" s="1542"/>
      <c r="F354" s="1542"/>
      <c r="G354" s="1542"/>
      <c r="H354" s="1542"/>
      <c r="I354" s="1542"/>
      <c r="J354" s="1542"/>
      <c r="K354" s="1542"/>
      <c r="L354" s="1542"/>
      <c r="M354" s="327"/>
      <c r="N354" s="327"/>
      <c r="O354" s="327"/>
      <c r="P354" s="327"/>
      <c r="Q354" s="327"/>
      <c r="R354" s="327"/>
      <c r="S354" s="327"/>
      <c r="T354" s="327"/>
      <c r="U354" s="327"/>
    </row>
    <row r="355" spans="2:21" ht="15" hidden="1" customHeight="1">
      <c r="B355" s="505"/>
      <c r="C355" s="307"/>
      <c r="D355" s="1542"/>
      <c r="E355" s="1542"/>
      <c r="F355" s="1542"/>
      <c r="G355" s="1542"/>
      <c r="H355" s="1542"/>
      <c r="I355" s="1542"/>
      <c r="J355" s="1542"/>
      <c r="K355" s="1542"/>
      <c r="L355" s="1542"/>
      <c r="M355" s="327"/>
      <c r="N355" s="327"/>
      <c r="O355" s="327"/>
      <c r="P355" s="327"/>
      <c r="Q355" s="327"/>
      <c r="R355" s="327"/>
      <c r="S355" s="327"/>
      <c r="T355" s="327"/>
      <c r="U355" s="327"/>
    </row>
    <row r="356" spans="2:21" ht="15" hidden="1" customHeight="1">
      <c r="B356" s="505"/>
      <c r="C356" s="307"/>
      <c r="D356" s="1542"/>
      <c r="E356" s="1542"/>
      <c r="F356" s="1542"/>
      <c r="G356" s="1542"/>
      <c r="H356" s="1542"/>
      <c r="I356" s="1542"/>
      <c r="J356" s="1542"/>
      <c r="K356" s="1542"/>
      <c r="L356" s="1542"/>
      <c r="M356" s="327"/>
      <c r="N356" s="327"/>
      <c r="O356" s="327"/>
      <c r="P356" s="327"/>
      <c r="Q356" s="327"/>
      <c r="R356" s="327"/>
      <c r="S356" s="327"/>
      <c r="T356" s="327"/>
      <c r="U356" s="327"/>
    </row>
    <row r="357" spans="2:21" ht="15" hidden="1" customHeight="1">
      <c r="B357" s="505"/>
      <c r="C357" s="307"/>
      <c r="D357" s="1542"/>
      <c r="E357" s="1542"/>
      <c r="F357" s="1542"/>
      <c r="G357" s="1542"/>
      <c r="H357" s="1542"/>
      <c r="I357" s="1542"/>
      <c r="J357" s="1542"/>
      <c r="K357" s="1542"/>
      <c r="L357" s="1542"/>
      <c r="M357" s="327"/>
      <c r="N357" s="327"/>
      <c r="O357" s="327"/>
      <c r="P357" s="327"/>
      <c r="Q357" s="327"/>
      <c r="R357" s="327"/>
      <c r="S357" s="327"/>
      <c r="T357" s="327"/>
      <c r="U357" s="327"/>
    </row>
    <row r="358" spans="2:21" s="307" customFormat="1">
      <c r="B358" s="341" t="s">
        <v>426</v>
      </c>
      <c r="C358" s="342"/>
      <c r="D358" s="513" t="s">
        <v>34</v>
      </c>
      <c r="E358" s="513"/>
      <c r="F358" s="513"/>
      <c r="G358" s="513"/>
      <c r="H358" s="513"/>
      <c r="I358" s="513"/>
      <c r="J358" s="513"/>
      <c r="M358" s="327"/>
      <c r="N358" s="327"/>
      <c r="O358" s="327"/>
      <c r="P358" s="327"/>
      <c r="Q358" s="327"/>
      <c r="R358" s="327"/>
      <c r="S358" s="327"/>
      <c r="T358" s="327"/>
      <c r="U358" s="327"/>
    </row>
    <row r="359" spans="2:21" s="307" customFormat="1">
      <c r="B359" s="341"/>
      <c r="C359" s="342"/>
      <c r="D359" s="513" t="str">
        <f>"This total balance of $265,249,280 at 12/31/12 is not included in the balance in line "&amp;B255&amp;" above."</f>
        <v>This total balance of $265,249,280 at 12/31/12 is not included in the balance in line 154 above.</v>
      </c>
      <c r="E359" s="513"/>
      <c r="F359" s="513"/>
      <c r="G359" s="513"/>
      <c r="H359" s="513"/>
      <c r="I359" s="513"/>
      <c r="J359" s="513"/>
      <c r="M359" s="327"/>
      <c r="N359" s="327"/>
      <c r="O359" s="327"/>
      <c r="P359" s="327"/>
      <c r="Q359" s="327"/>
      <c r="R359" s="327"/>
      <c r="S359" s="327"/>
      <c r="T359" s="327"/>
      <c r="U359" s="327"/>
    </row>
    <row r="360" spans="2:21" s="307" customFormat="1">
      <c r="B360" s="341"/>
      <c r="C360" s="342"/>
      <c r="D360" s="1543" t="s">
        <v>581</v>
      </c>
      <c r="E360" s="1543"/>
      <c r="F360" s="1543"/>
      <c r="G360" s="1543"/>
      <c r="H360" s="1543"/>
      <c r="I360" s="1543"/>
      <c r="J360" s="1543"/>
      <c r="K360" s="1543"/>
      <c r="L360" s="1543"/>
      <c r="M360" s="327"/>
      <c r="N360" s="327"/>
      <c r="O360" s="327"/>
      <c r="P360" s="327"/>
      <c r="Q360" s="327"/>
      <c r="R360" s="327"/>
      <c r="S360" s="327"/>
      <c r="T360" s="327"/>
      <c r="U360" s="327"/>
    </row>
    <row r="361" spans="2:21" s="307" customFormat="1">
      <c r="B361" s="341"/>
      <c r="C361" s="342"/>
      <c r="D361" s="1543"/>
      <c r="E361" s="1543"/>
      <c r="F361" s="1543"/>
      <c r="G361" s="1543"/>
      <c r="H361" s="1543"/>
      <c r="I361" s="1543"/>
      <c r="J361" s="1543"/>
      <c r="K361" s="1543"/>
      <c r="L361" s="1543"/>
      <c r="M361" s="327"/>
      <c r="N361" s="327"/>
      <c r="O361" s="327"/>
      <c r="P361" s="327"/>
      <c r="Q361" s="327"/>
      <c r="R361" s="327"/>
      <c r="S361" s="327"/>
      <c r="T361" s="327"/>
      <c r="U361" s="327"/>
    </row>
    <row r="362" spans="2:21" s="307" customFormat="1">
      <c r="B362" s="341"/>
      <c r="C362" s="342"/>
      <c r="D362" s="1543"/>
      <c r="E362" s="1543"/>
      <c r="F362" s="1543"/>
      <c r="G362" s="1543"/>
      <c r="H362" s="1543"/>
      <c r="I362" s="1543"/>
      <c r="J362" s="1543"/>
      <c r="K362" s="1543"/>
      <c r="L362" s="1543"/>
      <c r="M362" s="327"/>
      <c r="N362" s="327"/>
      <c r="O362" s="327"/>
      <c r="P362" s="327"/>
      <c r="Q362" s="327"/>
      <c r="R362" s="327"/>
      <c r="S362" s="327"/>
      <c r="T362" s="327"/>
      <c r="U362" s="327"/>
    </row>
    <row r="363" spans="2:21">
      <c r="B363" s="341" t="s">
        <v>493</v>
      </c>
      <c r="C363" s="518"/>
      <c r="D363" s="1543" t="s">
        <v>753</v>
      </c>
      <c r="E363" s="1543"/>
      <c r="F363" s="1543"/>
      <c r="G363" s="1543"/>
      <c r="H363" s="1543"/>
      <c r="I363" s="1543"/>
      <c r="J363" s="1543"/>
      <c r="K363" s="1543"/>
      <c r="L363" s="1543"/>
      <c r="M363" s="327"/>
      <c r="N363" s="327"/>
      <c r="O363" s="327"/>
      <c r="P363" s="327"/>
      <c r="Q363" s="327"/>
      <c r="R363" s="327"/>
      <c r="S363" s="327"/>
      <c r="T363" s="327"/>
      <c r="U363" s="327"/>
    </row>
    <row r="364" spans="2:21" ht="64.5" customHeight="1">
      <c r="B364" s="341"/>
      <c r="C364" s="342"/>
      <c r="D364" s="1543"/>
      <c r="E364" s="1543"/>
      <c r="F364" s="1543"/>
      <c r="G364" s="1543"/>
      <c r="H364" s="1543"/>
      <c r="I364" s="1543"/>
      <c r="J364" s="1543"/>
      <c r="K364" s="1543"/>
      <c r="L364" s="1543"/>
      <c r="M364" s="327"/>
      <c r="N364" s="327"/>
      <c r="O364" s="327"/>
      <c r="P364" s="327"/>
      <c r="Q364" s="327"/>
      <c r="R364" s="327"/>
      <c r="S364" s="327"/>
      <c r="T364" s="327"/>
      <c r="U364" s="327"/>
    </row>
    <row r="365" spans="2:21">
      <c r="B365" s="341" t="s">
        <v>583</v>
      </c>
      <c r="C365" s="342"/>
      <c r="D365" s="1539" t="s">
        <v>582</v>
      </c>
      <c r="E365" s="1539"/>
      <c r="F365" s="1539"/>
      <c r="G365" s="1539"/>
      <c r="H365" s="1539"/>
      <c r="I365" s="1539"/>
      <c r="J365" s="1539"/>
      <c r="K365" s="1539"/>
      <c r="L365" s="1539"/>
      <c r="M365" s="327"/>
      <c r="N365" s="327"/>
      <c r="O365" s="327"/>
      <c r="P365" s="327"/>
      <c r="Q365" s="327"/>
      <c r="R365" s="327"/>
      <c r="S365" s="327"/>
      <c r="T365" s="327"/>
      <c r="U365" s="327"/>
    </row>
    <row r="366" spans="2:21">
      <c r="B366" s="341"/>
      <c r="C366" s="342"/>
      <c r="D366" s="1539"/>
      <c r="E366" s="1539"/>
      <c r="F366" s="1539"/>
      <c r="G366" s="1539"/>
      <c r="H366" s="1539"/>
      <c r="I366" s="1539"/>
      <c r="J366" s="1539"/>
      <c r="K366" s="1539"/>
      <c r="L366" s="1539"/>
      <c r="M366" s="327"/>
      <c r="N366" s="327"/>
      <c r="O366" s="327"/>
      <c r="P366" s="327"/>
      <c r="Q366" s="327"/>
      <c r="R366" s="327"/>
      <c r="S366" s="327"/>
      <c r="T366" s="327"/>
      <c r="U366" s="327"/>
    </row>
    <row r="367" spans="2:21">
      <c r="B367" s="341" t="s">
        <v>585</v>
      </c>
      <c r="C367" s="342"/>
      <c r="D367" s="1546" t="s">
        <v>586</v>
      </c>
      <c r="E367" s="1546"/>
      <c r="F367" s="1546"/>
      <c r="G367" s="1546"/>
      <c r="H367" s="1546"/>
      <c r="I367" s="1546"/>
      <c r="J367" s="1546"/>
      <c r="K367" s="1546"/>
      <c r="L367" s="1546"/>
      <c r="M367" s="327"/>
      <c r="N367" s="327"/>
      <c r="O367" s="327"/>
      <c r="P367" s="327"/>
      <c r="Q367" s="327"/>
      <c r="R367" s="327"/>
      <c r="S367" s="327"/>
      <c r="T367" s="327"/>
      <c r="U367" s="327"/>
    </row>
    <row r="368" spans="2:21">
      <c r="B368" s="341" t="s">
        <v>584</v>
      </c>
      <c r="C368" s="342"/>
      <c r="D368" s="1539" t="s">
        <v>587</v>
      </c>
      <c r="E368" s="1539"/>
      <c r="F368" s="1539"/>
      <c r="G368" s="1539"/>
      <c r="H368" s="1539"/>
      <c r="I368" s="1539"/>
      <c r="J368" s="1539"/>
      <c r="K368" s="1539"/>
      <c r="L368" s="1539"/>
      <c r="M368" s="327"/>
      <c r="N368" s="327"/>
      <c r="O368" s="327"/>
      <c r="P368" s="327"/>
      <c r="Q368" s="327"/>
      <c r="R368" s="327"/>
      <c r="S368" s="327"/>
      <c r="T368" s="327"/>
      <c r="U368" s="327"/>
    </row>
    <row r="369" spans="2:21">
      <c r="B369" s="341"/>
      <c r="C369" s="342"/>
      <c r="D369" s="1539"/>
      <c r="E369" s="1539"/>
      <c r="F369" s="1539"/>
      <c r="G369" s="1539"/>
      <c r="H369" s="1539"/>
      <c r="I369" s="1539"/>
      <c r="J369" s="1539"/>
      <c r="K369" s="1539"/>
      <c r="L369" s="1539"/>
      <c r="M369" s="327"/>
      <c r="N369" s="327"/>
      <c r="O369" s="327"/>
      <c r="P369" s="327"/>
      <c r="Q369" s="327"/>
      <c r="R369" s="327"/>
      <c r="S369" s="327"/>
      <c r="T369" s="327"/>
      <c r="U369" s="327"/>
    </row>
    <row r="370" spans="2:21">
      <c r="B370" s="319"/>
      <c r="C370" s="319"/>
      <c r="D370" s="1539"/>
      <c r="E370" s="1539"/>
      <c r="F370" s="1539"/>
      <c r="G370" s="1539"/>
      <c r="H370" s="1539"/>
      <c r="I370" s="1539"/>
      <c r="J370" s="1539"/>
      <c r="K370" s="1539"/>
      <c r="L370" s="1539"/>
      <c r="M370" s="327"/>
      <c r="N370" s="327"/>
      <c r="O370" s="327"/>
      <c r="P370" s="327"/>
      <c r="Q370" s="327"/>
      <c r="R370" s="327"/>
      <c r="S370" s="327"/>
      <c r="T370" s="327"/>
      <c r="U370" s="327"/>
    </row>
    <row r="371" spans="2:21" ht="18" customHeight="1">
      <c r="B371" s="1102" t="s">
        <v>625</v>
      </c>
      <c r="C371" s="1103"/>
      <c r="D371" s="507" t="s">
        <v>861</v>
      </c>
      <c r="E371" s="566"/>
      <c r="F371" s="566"/>
      <c r="G371" s="566"/>
      <c r="H371" s="319"/>
      <c r="M371" s="327"/>
      <c r="N371" s="327"/>
      <c r="O371" s="327"/>
      <c r="P371" s="327"/>
      <c r="Q371" s="327"/>
      <c r="R371" s="327"/>
      <c r="S371" s="327"/>
      <c r="T371" s="327"/>
      <c r="U371" s="327"/>
    </row>
    <row r="372" spans="2:21">
      <c r="B372" s="319"/>
      <c r="C372" s="319"/>
      <c r="D372" s="319"/>
      <c r="E372" s="319"/>
      <c r="F372" s="319"/>
      <c r="G372" s="319"/>
      <c r="H372" s="319"/>
      <c r="M372" s="327"/>
      <c r="N372" s="327"/>
      <c r="O372" s="327"/>
      <c r="P372" s="327"/>
      <c r="Q372" s="327"/>
      <c r="R372" s="327"/>
      <c r="S372" s="327"/>
      <c r="T372" s="327"/>
      <c r="U372" s="327"/>
    </row>
    <row r="373" spans="2:21">
      <c r="B373" s="1102" t="s">
        <v>909</v>
      </c>
      <c r="C373" s="401"/>
      <c r="D373" s="1524" t="s">
        <v>910</v>
      </c>
      <c r="E373" s="1524"/>
      <c r="F373" s="1524"/>
      <c r="G373" s="1524"/>
      <c r="H373" s="1524"/>
      <c r="I373" s="1524"/>
      <c r="J373" s="1524"/>
      <c r="K373" s="1524"/>
      <c r="L373" s="1524"/>
      <c r="M373" s="307"/>
    </row>
    <row r="374" spans="2:21">
      <c r="B374" s="401"/>
      <c r="C374" s="401"/>
      <c r="D374" s="1524"/>
      <c r="E374" s="1524"/>
      <c r="F374" s="1524"/>
      <c r="G374" s="1524"/>
      <c r="H374" s="1524"/>
      <c r="I374" s="1524"/>
      <c r="J374" s="1524"/>
      <c r="K374" s="1524"/>
      <c r="L374" s="1524"/>
      <c r="M374" s="307"/>
    </row>
    <row r="375" spans="2:21">
      <c r="B375" s="505"/>
      <c r="C375" s="307"/>
      <c r="D375" s="307"/>
      <c r="E375" s="307"/>
      <c r="F375" s="307"/>
      <c r="G375" s="307"/>
      <c r="H375" s="307"/>
      <c r="I375" s="307"/>
      <c r="J375" s="307"/>
      <c r="K375" s="307"/>
      <c r="L375" s="307"/>
      <c r="M375" s="307"/>
    </row>
    <row r="376" spans="2:21">
      <c r="B376" s="505"/>
      <c r="C376" s="307"/>
      <c r="D376" s="307"/>
      <c r="E376" s="307"/>
      <c r="F376" s="307"/>
      <c r="G376" s="307"/>
      <c r="H376" s="307"/>
      <c r="I376" s="307"/>
      <c r="J376" s="307"/>
      <c r="K376" s="307"/>
      <c r="L376" s="307"/>
      <c r="M376" s="307"/>
    </row>
    <row r="377" spans="2:21">
      <c r="B377" s="505"/>
      <c r="C377" s="307"/>
      <c r="D377" s="307"/>
      <c r="E377" s="307"/>
      <c r="F377" s="307"/>
      <c r="G377" s="307"/>
      <c r="H377" s="307"/>
      <c r="I377" s="307"/>
      <c r="J377" s="307"/>
      <c r="K377" s="307"/>
      <c r="L377" s="307"/>
      <c r="M377" s="307"/>
    </row>
    <row r="378" spans="2:21">
      <c r="B378" s="505"/>
      <c r="C378" s="307"/>
      <c r="D378" s="307"/>
      <c r="E378" s="307"/>
      <c r="F378" s="307"/>
      <c r="G378" s="307"/>
      <c r="H378" s="307"/>
      <c r="I378" s="307"/>
      <c r="J378" s="307"/>
      <c r="K378" s="307"/>
      <c r="L378" s="307"/>
      <c r="M378" s="307"/>
    </row>
    <row r="379" spans="2:21">
      <c r="B379" s="505"/>
      <c r="C379" s="307"/>
      <c r="D379" s="307"/>
      <c r="E379" s="307"/>
      <c r="F379" s="307"/>
      <c r="G379" s="307"/>
      <c r="H379" s="307"/>
      <c r="I379" s="307"/>
      <c r="J379" s="307"/>
      <c r="K379" s="307"/>
      <c r="L379" s="307"/>
      <c r="M379" s="307"/>
    </row>
    <row r="380" spans="2:21">
      <c r="B380" s="505"/>
      <c r="C380" s="307"/>
      <c r="D380" s="307"/>
      <c r="E380" s="307"/>
      <c r="F380" s="307"/>
      <c r="G380" s="307"/>
      <c r="H380" s="307"/>
      <c r="I380" s="307"/>
      <c r="J380" s="307"/>
      <c r="K380" s="307"/>
      <c r="L380" s="307"/>
      <c r="M380" s="307"/>
    </row>
    <row r="381" spans="2:21">
      <c r="B381" s="505"/>
      <c r="C381" s="307"/>
      <c r="D381" s="307"/>
      <c r="E381" s="307"/>
      <c r="F381" s="307"/>
      <c r="G381" s="307"/>
      <c r="H381" s="307"/>
      <c r="I381" s="307"/>
      <c r="J381" s="307"/>
      <c r="K381" s="307"/>
      <c r="L381" s="307"/>
      <c r="M381" s="307"/>
    </row>
    <row r="382" spans="2:21">
      <c r="B382" s="505"/>
      <c r="C382" s="307"/>
      <c r="D382" s="307"/>
      <c r="E382" s="307"/>
      <c r="F382" s="307"/>
      <c r="G382" s="307"/>
      <c r="H382" s="307"/>
      <c r="I382" s="307"/>
      <c r="J382" s="307"/>
      <c r="K382" s="307"/>
      <c r="L382" s="307"/>
      <c r="M382" s="307"/>
    </row>
    <row r="383" spans="2:21">
      <c r="B383" s="505"/>
      <c r="C383" s="307"/>
      <c r="D383" s="307"/>
      <c r="E383" s="307"/>
      <c r="F383" s="307"/>
      <c r="G383" s="307"/>
      <c r="H383" s="307"/>
      <c r="I383" s="307"/>
      <c r="J383" s="307"/>
      <c r="K383" s="307"/>
      <c r="L383" s="307"/>
      <c r="M383" s="307"/>
    </row>
    <row r="384" spans="2:21">
      <c r="B384" s="505"/>
      <c r="C384" s="307"/>
      <c r="D384" s="307"/>
      <c r="E384" s="307"/>
      <c r="F384" s="307"/>
      <c r="G384" s="307"/>
      <c r="H384" s="307"/>
      <c r="I384" s="307"/>
      <c r="J384" s="307"/>
      <c r="K384" s="307"/>
      <c r="L384" s="307"/>
      <c r="M384" s="307"/>
    </row>
    <row r="385" spans="2:13">
      <c r="B385" s="505"/>
      <c r="C385" s="307"/>
      <c r="D385" s="307"/>
      <c r="E385" s="307"/>
      <c r="F385" s="307"/>
      <c r="G385" s="307"/>
      <c r="H385" s="307"/>
      <c r="I385" s="307"/>
      <c r="J385" s="307"/>
      <c r="K385" s="307"/>
      <c r="L385" s="307"/>
      <c r="M385" s="307"/>
    </row>
    <row r="386" spans="2:13">
      <c r="B386" s="505"/>
      <c r="C386" s="307"/>
      <c r="D386" s="307"/>
      <c r="E386" s="307"/>
      <c r="F386" s="307"/>
      <c r="G386" s="307"/>
      <c r="H386" s="307"/>
      <c r="I386" s="307"/>
      <c r="J386" s="307"/>
      <c r="K386" s="307"/>
      <c r="L386" s="307"/>
      <c r="M386" s="307"/>
    </row>
    <row r="387" spans="2:13">
      <c r="B387" s="505"/>
      <c r="C387" s="307"/>
      <c r="D387" s="307"/>
      <c r="E387" s="307"/>
      <c r="F387" s="307"/>
      <c r="G387" s="307"/>
      <c r="H387" s="307"/>
      <c r="I387" s="307"/>
      <c r="J387" s="307"/>
      <c r="K387" s="307"/>
      <c r="L387" s="307"/>
      <c r="M387" s="307"/>
    </row>
    <row r="388" spans="2:13">
      <c r="B388" s="505"/>
      <c r="C388" s="307"/>
      <c r="D388" s="307"/>
      <c r="E388" s="307"/>
      <c r="F388" s="307"/>
      <c r="G388" s="307"/>
      <c r="H388" s="307"/>
      <c r="I388" s="307"/>
      <c r="J388" s="307"/>
      <c r="K388" s="307"/>
      <c r="L388" s="307"/>
      <c r="M388" s="307"/>
    </row>
    <row r="389" spans="2:13">
      <c r="B389" s="505"/>
      <c r="C389" s="307"/>
      <c r="D389" s="307"/>
      <c r="E389" s="307"/>
      <c r="F389" s="307"/>
      <c r="G389" s="307"/>
      <c r="H389" s="307"/>
      <c r="I389" s="307"/>
      <c r="J389" s="307"/>
      <c r="K389" s="307"/>
      <c r="L389" s="307"/>
      <c r="M389" s="307"/>
    </row>
    <row r="390" spans="2:13">
      <c r="B390" s="505"/>
      <c r="C390" s="307"/>
      <c r="D390" s="307"/>
      <c r="E390" s="307"/>
      <c r="F390" s="307"/>
      <c r="G390" s="307"/>
      <c r="H390" s="307"/>
      <c r="I390" s="307"/>
      <c r="J390" s="307"/>
      <c r="K390" s="307"/>
      <c r="L390" s="307"/>
      <c r="M390" s="307"/>
    </row>
    <row r="391" spans="2:13">
      <c r="B391" s="505"/>
      <c r="C391" s="307"/>
      <c r="D391" s="307"/>
      <c r="E391" s="307"/>
      <c r="F391" s="307"/>
      <c r="G391" s="307"/>
      <c r="H391" s="307"/>
      <c r="I391" s="307"/>
      <c r="J391" s="307"/>
      <c r="K391" s="307"/>
      <c r="L391" s="307"/>
      <c r="M391" s="307"/>
    </row>
    <row r="392" spans="2:13">
      <c r="B392" s="505"/>
      <c r="C392" s="307"/>
      <c r="D392" s="307"/>
      <c r="E392" s="307"/>
      <c r="F392" s="307"/>
      <c r="G392" s="307"/>
      <c r="H392" s="307"/>
      <c r="I392" s="307"/>
      <c r="J392" s="307"/>
      <c r="K392" s="307"/>
      <c r="L392" s="307"/>
      <c r="M392" s="307"/>
    </row>
    <row r="393" spans="2:13">
      <c r="B393" s="505"/>
      <c r="C393" s="307"/>
      <c r="D393" s="307"/>
      <c r="E393" s="307"/>
      <c r="F393" s="307"/>
      <c r="G393" s="307"/>
      <c r="H393" s="307"/>
      <c r="I393" s="307"/>
      <c r="J393" s="307"/>
      <c r="K393" s="307"/>
      <c r="L393" s="307"/>
      <c r="M393" s="307"/>
    </row>
    <row r="394" spans="2:13">
      <c r="B394" s="505"/>
      <c r="C394" s="307"/>
      <c r="D394" s="307"/>
      <c r="E394" s="307"/>
      <c r="F394" s="307"/>
      <c r="G394" s="307"/>
      <c r="H394" s="307"/>
      <c r="I394" s="307"/>
      <c r="J394" s="307"/>
      <c r="K394" s="307"/>
      <c r="L394" s="307"/>
      <c r="M394" s="307"/>
    </row>
    <row r="395" spans="2:13">
      <c r="B395" s="505"/>
      <c r="C395" s="307"/>
      <c r="D395" s="307"/>
      <c r="E395" s="307"/>
      <c r="F395" s="307"/>
      <c r="G395" s="307"/>
      <c r="H395" s="307"/>
      <c r="I395" s="307"/>
      <c r="J395" s="307"/>
      <c r="K395" s="307"/>
      <c r="L395" s="307"/>
      <c r="M395" s="307"/>
    </row>
    <row r="396" spans="2:13">
      <c r="B396" s="505"/>
      <c r="C396" s="307"/>
      <c r="D396" s="307"/>
      <c r="E396" s="307"/>
      <c r="F396" s="307"/>
      <c r="G396" s="307"/>
      <c r="H396" s="307"/>
      <c r="I396" s="307"/>
      <c r="J396" s="307"/>
      <c r="K396" s="307"/>
      <c r="L396" s="307"/>
      <c r="M396" s="307"/>
    </row>
    <row r="397" spans="2:13">
      <c r="B397" s="505"/>
      <c r="C397" s="307"/>
      <c r="D397" s="307"/>
      <c r="E397" s="307"/>
      <c r="F397" s="307"/>
      <c r="G397" s="307"/>
      <c r="H397" s="307"/>
      <c r="I397" s="307"/>
      <c r="J397" s="307"/>
      <c r="K397" s="307"/>
      <c r="L397" s="307"/>
      <c r="M397" s="307"/>
    </row>
    <row r="398" spans="2:13">
      <c r="B398" s="505"/>
      <c r="C398" s="307"/>
      <c r="D398" s="307"/>
      <c r="E398" s="307"/>
      <c r="F398" s="307"/>
      <c r="G398" s="307"/>
      <c r="H398" s="307"/>
      <c r="I398" s="307"/>
      <c r="J398" s="307"/>
      <c r="K398" s="307"/>
      <c r="L398" s="307"/>
      <c r="M398" s="307"/>
    </row>
    <row r="399" spans="2:13">
      <c r="B399" s="505"/>
      <c r="C399" s="307"/>
      <c r="D399" s="307"/>
      <c r="E399" s="307"/>
      <c r="F399" s="307"/>
      <c r="G399" s="307"/>
      <c r="H399" s="307"/>
      <c r="I399" s="307"/>
      <c r="J399" s="307"/>
      <c r="K399" s="307"/>
      <c r="L399" s="307"/>
      <c r="M399" s="307"/>
    </row>
    <row r="400" spans="2:13">
      <c r="B400" s="505"/>
      <c r="C400" s="307"/>
      <c r="D400" s="307"/>
      <c r="E400" s="307"/>
      <c r="F400" s="307"/>
      <c r="G400" s="307"/>
      <c r="H400" s="307"/>
      <c r="I400" s="307"/>
      <c r="J400" s="307"/>
      <c r="K400" s="307"/>
      <c r="L400" s="307"/>
      <c r="M400" s="307"/>
    </row>
    <row r="401" spans="2:13">
      <c r="B401" s="505"/>
      <c r="C401" s="307"/>
      <c r="D401" s="307"/>
      <c r="E401" s="307"/>
      <c r="F401" s="307"/>
      <c r="G401" s="307"/>
      <c r="H401" s="307"/>
      <c r="I401" s="307"/>
      <c r="J401" s="307"/>
      <c r="K401" s="307"/>
      <c r="L401" s="307"/>
      <c r="M401" s="307"/>
    </row>
    <row r="402" spans="2:13">
      <c r="B402" s="505"/>
      <c r="C402" s="307"/>
      <c r="D402" s="307"/>
      <c r="E402" s="307"/>
      <c r="F402" s="307"/>
      <c r="G402" s="307"/>
      <c r="H402" s="307"/>
      <c r="I402" s="307"/>
      <c r="J402" s="307"/>
      <c r="K402" s="307"/>
      <c r="L402" s="307"/>
      <c r="M402" s="307"/>
    </row>
    <row r="403" spans="2:13">
      <c r="B403" s="505"/>
      <c r="C403" s="307"/>
      <c r="D403" s="307"/>
      <c r="E403" s="307"/>
      <c r="F403" s="307"/>
      <c r="G403" s="307"/>
      <c r="H403" s="307"/>
      <c r="I403" s="307"/>
      <c r="J403" s="307"/>
      <c r="K403" s="307"/>
      <c r="L403" s="307"/>
      <c r="M403" s="307"/>
    </row>
    <row r="404" spans="2:13">
      <c r="B404" s="505"/>
      <c r="C404" s="307"/>
      <c r="D404" s="307"/>
      <c r="E404" s="307"/>
      <c r="F404" s="307"/>
      <c r="G404" s="307"/>
      <c r="H404" s="307"/>
      <c r="I404" s="307"/>
      <c r="J404" s="307"/>
      <c r="K404" s="307"/>
      <c r="L404" s="307"/>
      <c r="M404" s="307"/>
    </row>
    <row r="405" spans="2:13">
      <c r="B405" s="505"/>
      <c r="C405" s="307"/>
      <c r="D405" s="307"/>
      <c r="E405" s="307"/>
      <c r="F405" s="307"/>
      <c r="G405" s="307"/>
      <c r="H405" s="307"/>
      <c r="I405" s="307"/>
      <c r="J405" s="307"/>
      <c r="K405" s="307"/>
      <c r="L405" s="307"/>
      <c r="M405" s="307"/>
    </row>
    <row r="406" spans="2:13">
      <c r="B406" s="505"/>
      <c r="C406" s="307"/>
      <c r="D406" s="307"/>
      <c r="E406" s="307"/>
      <c r="F406" s="307"/>
      <c r="G406" s="307"/>
      <c r="H406" s="307"/>
      <c r="I406" s="307"/>
      <c r="J406" s="307"/>
      <c r="K406" s="307"/>
      <c r="L406" s="307"/>
      <c r="M406" s="307"/>
    </row>
    <row r="407" spans="2:13">
      <c r="B407" s="505"/>
      <c r="C407" s="307"/>
      <c r="D407" s="307"/>
      <c r="E407" s="307"/>
      <c r="F407" s="307"/>
      <c r="G407" s="307"/>
      <c r="H407" s="307"/>
      <c r="I407" s="307"/>
      <c r="J407" s="307"/>
      <c r="K407" s="307"/>
      <c r="L407" s="307"/>
      <c r="M407" s="307"/>
    </row>
    <row r="408" spans="2:13">
      <c r="B408" s="505"/>
      <c r="C408" s="307"/>
      <c r="D408" s="307"/>
      <c r="E408" s="307"/>
      <c r="F408" s="307"/>
      <c r="G408" s="307"/>
      <c r="H408" s="307"/>
      <c r="I408" s="307"/>
      <c r="J408" s="307"/>
      <c r="K408" s="307"/>
      <c r="L408" s="307"/>
      <c r="M408" s="307"/>
    </row>
    <row r="409" spans="2:13">
      <c r="B409" s="505"/>
      <c r="C409" s="307"/>
      <c r="D409" s="307"/>
      <c r="E409" s="307"/>
      <c r="F409" s="307"/>
      <c r="G409" s="307"/>
      <c r="H409" s="307"/>
      <c r="I409" s="307"/>
      <c r="J409" s="307"/>
      <c r="K409" s="307"/>
      <c r="L409" s="307"/>
      <c r="M409" s="307"/>
    </row>
    <row r="410" spans="2:13">
      <c r="B410" s="505"/>
      <c r="C410" s="307"/>
      <c r="D410" s="307"/>
      <c r="E410" s="307"/>
      <c r="F410" s="307"/>
      <c r="G410" s="307"/>
      <c r="H410" s="307"/>
      <c r="I410" s="307"/>
      <c r="J410" s="307"/>
      <c r="K410" s="307"/>
      <c r="L410" s="307"/>
      <c r="M410" s="307"/>
    </row>
    <row r="411" spans="2:13">
      <c r="B411" s="505"/>
      <c r="C411" s="307"/>
      <c r="D411" s="307"/>
      <c r="E411" s="307"/>
      <c r="F411" s="307"/>
      <c r="G411" s="307"/>
      <c r="H411" s="307"/>
      <c r="I411" s="307"/>
      <c r="J411" s="307"/>
      <c r="K411" s="307"/>
      <c r="L411" s="307"/>
      <c r="M411" s="307"/>
    </row>
    <row r="412" spans="2:13">
      <c r="B412" s="505"/>
      <c r="C412" s="307"/>
      <c r="D412" s="307"/>
      <c r="E412" s="307"/>
      <c r="F412" s="307"/>
      <c r="G412" s="307"/>
      <c r="H412" s="307"/>
      <c r="I412" s="307"/>
      <c r="J412" s="307"/>
      <c r="K412" s="307"/>
      <c r="L412" s="307"/>
      <c r="M412" s="307"/>
    </row>
    <row r="413" spans="2:13">
      <c r="B413" s="505"/>
      <c r="C413" s="307"/>
      <c r="D413" s="307"/>
      <c r="E413" s="307"/>
      <c r="F413" s="307"/>
      <c r="G413" s="307"/>
      <c r="H413" s="307"/>
      <c r="I413" s="307"/>
      <c r="J413" s="307"/>
      <c r="K413" s="307"/>
      <c r="L413" s="307"/>
      <c r="M413" s="307"/>
    </row>
    <row r="414" spans="2:13">
      <c r="B414" s="505"/>
      <c r="C414" s="307"/>
      <c r="D414" s="307"/>
      <c r="E414" s="307"/>
      <c r="F414" s="307"/>
      <c r="G414" s="307"/>
      <c r="H414" s="307"/>
      <c r="I414" s="307"/>
      <c r="J414" s="307"/>
      <c r="K414" s="307"/>
      <c r="L414" s="307"/>
      <c r="M414" s="307"/>
    </row>
    <row r="415" spans="2:13">
      <c r="B415" s="505"/>
      <c r="C415" s="307"/>
      <c r="D415" s="307"/>
      <c r="E415" s="307"/>
      <c r="F415" s="307"/>
      <c r="G415" s="307"/>
      <c r="H415" s="307"/>
      <c r="I415" s="307"/>
      <c r="J415" s="307"/>
      <c r="K415" s="307"/>
      <c r="L415" s="307"/>
      <c r="M415" s="307"/>
    </row>
    <row r="416" spans="2:13">
      <c r="B416" s="505"/>
      <c r="C416" s="307"/>
      <c r="D416" s="307"/>
      <c r="E416" s="307"/>
      <c r="F416" s="307"/>
      <c r="G416" s="307"/>
      <c r="H416" s="307"/>
      <c r="I416" s="307"/>
      <c r="J416" s="307"/>
      <c r="K416" s="307"/>
      <c r="L416" s="307"/>
      <c r="M416" s="307"/>
    </row>
    <row r="417" spans="2:13">
      <c r="B417" s="505"/>
      <c r="C417" s="307"/>
      <c r="D417" s="307"/>
      <c r="E417" s="307"/>
      <c r="F417" s="307"/>
      <c r="G417" s="307"/>
      <c r="H417" s="307"/>
      <c r="I417" s="307"/>
      <c r="J417" s="307"/>
      <c r="K417" s="307"/>
      <c r="L417" s="307"/>
      <c r="M417" s="307"/>
    </row>
    <row r="418" spans="2:13">
      <c r="B418" s="505"/>
      <c r="C418" s="307"/>
      <c r="D418" s="307"/>
      <c r="E418" s="307"/>
      <c r="F418" s="307"/>
      <c r="G418" s="307"/>
      <c r="H418" s="307"/>
      <c r="I418" s="307"/>
      <c r="J418" s="307"/>
      <c r="K418" s="307"/>
      <c r="L418" s="307"/>
      <c r="M418" s="307"/>
    </row>
    <row r="419" spans="2:13">
      <c r="B419" s="505"/>
      <c r="C419" s="307"/>
      <c r="D419" s="307"/>
      <c r="E419" s="307"/>
      <c r="F419" s="307"/>
      <c r="G419" s="307"/>
      <c r="H419" s="307"/>
      <c r="I419" s="307"/>
      <c r="J419" s="307"/>
      <c r="K419" s="307"/>
      <c r="L419" s="307"/>
      <c r="M419" s="307"/>
    </row>
    <row r="420" spans="2:13">
      <c r="B420" s="505"/>
      <c r="C420" s="307"/>
      <c r="D420" s="307"/>
      <c r="E420" s="307"/>
      <c r="F420" s="307"/>
      <c r="G420" s="307"/>
      <c r="H420" s="307"/>
      <c r="I420" s="307"/>
      <c r="J420" s="307"/>
      <c r="K420" s="307"/>
      <c r="L420" s="307"/>
      <c r="M420" s="307"/>
    </row>
    <row r="421" spans="2:13">
      <c r="B421" s="505"/>
      <c r="C421" s="307"/>
      <c r="D421" s="307"/>
      <c r="E421" s="307"/>
      <c r="F421" s="307"/>
      <c r="G421" s="307"/>
      <c r="H421" s="307"/>
      <c r="I421" s="307"/>
      <c r="J421" s="307"/>
      <c r="K421" s="307"/>
      <c r="L421" s="307"/>
      <c r="M421" s="307"/>
    </row>
    <row r="422" spans="2:13">
      <c r="B422" s="505"/>
      <c r="C422" s="307"/>
      <c r="D422" s="307"/>
      <c r="E422" s="307"/>
      <c r="F422" s="307"/>
      <c r="G422" s="307"/>
      <c r="H422" s="307"/>
      <c r="I422" s="307"/>
      <c r="J422" s="307"/>
      <c r="K422" s="307"/>
      <c r="L422" s="307"/>
      <c r="M422" s="307"/>
    </row>
    <row r="423" spans="2:13">
      <c r="B423" s="505"/>
      <c r="C423" s="307"/>
      <c r="D423" s="307"/>
      <c r="E423" s="307"/>
      <c r="F423" s="307"/>
      <c r="G423" s="307"/>
      <c r="H423" s="307"/>
      <c r="I423" s="307"/>
      <c r="J423" s="307"/>
      <c r="K423" s="307"/>
      <c r="L423" s="307"/>
      <c r="M423" s="307"/>
    </row>
    <row r="424" spans="2:13">
      <c r="B424" s="505"/>
      <c r="C424" s="307"/>
      <c r="D424" s="307"/>
      <c r="E424" s="307"/>
      <c r="F424" s="307"/>
      <c r="G424" s="307"/>
      <c r="H424" s="307"/>
      <c r="I424" s="307"/>
      <c r="J424" s="307"/>
      <c r="K424" s="307"/>
      <c r="L424" s="307"/>
      <c r="M424" s="307"/>
    </row>
    <row r="425" spans="2:13">
      <c r="B425" s="505"/>
      <c r="C425" s="307"/>
      <c r="D425" s="307"/>
      <c r="E425" s="307"/>
      <c r="F425" s="307"/>
      <c r="G425" s="307"/>
      <c r="H425" s="307"/>
      <c r="I425" s="307"/>
      <c r="J425" s="307"/>
      <c r="K425" s="307"/>
      <c r="L425" s="307"/>
      <c r="M425" s="307"/>
    </row>
    <row r="426" spans="2:13">
      <c r="B426" s="505"/>
      <c r="C426" s="307"/>
      <c r="D426" s="307"/>
      <c r="E426" s="307"/>
      <c r="F426" s="307"/>
      <c r="G426" s="307"/>
      <c r="H426" s="307"/>
      <c r="I426" s="307"/>
      <c r="J426" s="307"/>
      <c r="K426" s="307"/>
      <c r="L426" s="307"/>
      <c r="M426" s="307"/>
    </row>
    <row r="427" spans="2:13">
      <c r="B427" s="505"/>
      <c r="C427" s="307"/>
      <c r="D427" s="307"/>
      <c r="E427" s="307"/>
      <c r="F427" s="307"/>
      <c r="G427" s="307"/>
      <c r="H427" s="307"/>
      <c r="I427" s="307"/>
      <c r="J427" s="307"/>
      <c r="K427" s="307"/>
      <c r="L427" s="307"/>
      <c r="M427" s="307"/>
    </row>
    <row r="428" spans="2:13">
      <c r="B428" s="505"/>
      <c r="C428" s="307"/>
      <c r="D428" s="307"/>
      <c r="E428" s="307"/>
      <c r="F428" s="307"/>
      <c r="G428" s="307"/>
      <c r="H428" s="307"/>
      <c r="I428" s="307"/>
      <c r="J428" s="307"/>
      <c r="K428" s="307"/>
      <c r="L428" s="307"/>
      <c r="M428" s="307"/>
    </row>
    <row r="429" spans="2:13">
      <c r="B429" s="505"/>
      <c r="C429" s="307"/>
      <c r="D429" s="307"/>
      <c r="E429" s="307"/>
      <c r="F429" s="307"/>
      <c r="G429" s="307"/>
      <c r="H429" s="307"/>
      <c r="I429" s="307"/>
      <c r="J429" s="307"/>
      <c r="K429" s="307"/>
      <c r="L429" s="307"/>
      <c r="M429" s="307"/>
    </row>
    <row r="430" spans="2:13">
      <c r="B430" s="505"/>
      <c r="C430" s="307"/>
      <c r="D430" s="307"/>
      <c r="E430" s="307"/>
      <c r="F430" s="307"/>
      <c r="G430" s="307"/>
      <c r="H430" s="307"/>
      <c r="I430" s="307"/>
      <c r="J430" s="307"/>
      <c r="K430" s="307"/>
      <c r="L430" s="307"/>
      <c r="M430" s="307"/>
    </row>
    <row r="431" spans="2:13">
      <c r="B431" s="505"/>
      <c r="C431" s="307"/>
      <c r="D431" s="307"/>
      <c r="E431" s="307"/>
      <c r="F431" s="307"/>
      <c r="G431" s="307"/>
      <c r="H431" s="307"/>
      <c r="I431" s="307"/>
      <c r="J431" s="307"/>
      <c r="K431" s="307"/>
      <c r="L431" s="307"/>
      <c r="M431" s="307"/>
    </row>
    <row r="432" spans="2:13">
      <c r="B432" s="505"/>
      <c r="C432" s="307"/>
      <c r="D432" s="307"/>
      <c r="E432" s="307"/>
      <c r="F432" s="307"/>
      <c r="G432" s="307"/>
      <c r="H432" s="307"/>
      <c r="I432" s="307"/>
      <c r="J432" s="307"/>
      <c r="K432" s="307"/>
      <c r="L432" s="307"/>
      <c r="M432" s="307"/>
    </row>
    <row r="433" spans="2:13">
      <c r="B433" s="505"/>
      <c r="C433" s="307"/>
      <c r="D433" s="307"/>
      <c r="E433" s="307"/>
      <c r="F433" s="307"/>
      <c r="G433" s="307"/>
      <c r="H433" s="307"/>
      <c r="I433" s="307"/>
      <c r="J433" s="307"/>
      <c r="K433" s="307"/>
      <c r="L433" s="307"/>
      <c r="M433" s="307"/>
    </row>
    <row r="434" spans="2:13">
      <c r="B434" s="505"/>
      <c r="C434" s="307"/>
      <c r="D434" s="307"/>
      <c r="E434" s="307"/>
      <c r="F434" s="307"/>
      <c r="G434" s="307"/>
      <c r="H434" s="307"/>
      <c r="I434" s="307"/>
      <c r="J434" s="307"/>
      <c r="K434" s="307"/>
      <c r="L434" s="307"/>
      <c r="M434" s="307"/>
    </row>
    <row r="435" spans="2:13">
      <c r="B435" s="505"/>
      <c r="C435" s="307"/>
      <c r="D435" s="307"/>
      <c r="E435" s="307"/>
      <c r="F435" s="307"/>
      <c r="G435" s="307"/>
      <c r="H435" s="307"/>
      <c r="I435" s="307"/>
      <c r="J435" s="307"/>
      <c r="K435" s="307"/>
      <c r="L435" s="307"/>
      <c r="M435" s="307"/>
    </row>
    <row r="436" spans="2:13">
      <c r="B436" s="505"/>
      <c r="C436" s="307"/>
      <c r="D436" s="307"/>
      <c r="E436" s="307"/>
      <c r="F436" s="307"/>
      <c r="G436" s="307"/>
      <c r="H436" s="307"/>
      <c r="I436" s="307"/>
      <c r="J436" s="307"/>
      <c r="K436" s="307"/>
      <c r="L436" s="307"/>
      <c r="M436" s="307"/>
    </row>
    <row r="437" spans="2:13">
      <c r="B437" s="505"/>
      <c r="C437" s="307"/>
      <c r="D437" s="307"/>
      <c r="E437" s="307"/>
      <c r="F437" s="307"/>
      <c r="G437" s="307"/>
      <c r="H437" s="307"/>
      <c r="I437" s="307"/>
      <c r="J437" s="307"/>
      <c r="K437" s="307"/>
      <c r="L437" s="307"/>
      <c r="M437" s="307"/>
    </row>
    <row r="438" spans="2:13">
      <c r="B438" s="505"/>
      <c r="C438" s="307"/>
      <c r="D438" s="307"/>
      <c r="E438" s="307"/>
      <c r="F438" s="307"/>
      <c r="G438" s="307"/>
      <c r="H438" s="307"/>
      <c r="I438" s="307"/>
      <c r="J438" s="307"/>
      <c r="K438" s="307"/>
      <c r="L438" s="307"/>
      <c r="M438" s="307"/>
    </row>
    <row r="439" spans="2:13">
      <c r="B439" s="505"/>
      <c r="C439" s="307"/>
      <c r="D439" s="307"/>
      <c r="E439" s="307"/>
      <c r="F439" s="307"/>
      <c r="G439" s="307"/>
      <c r="H439" s="307"/>
      <c r="I439" s="307"/>
      <c r="J439" s="307"/>
      <c r="K439" s="307"/>
      <c r="L439" s="307"/>
      <c r="M439" s="307"/>
    </row>
    <row r="440" spans="2:13">
      <c r="B440" s="505"/>
      <c r="C440" s="307"/>
      <c r="D440" s="307"/>
      <c r="E440" s="307"/>
      <c r="F440" s="307"/>
      <c r="G440" s="307"/>
      <c r="H440" s="307"/>
      <c r="I440" s="307"/>
      <c r="J440" s="307"/>
      <c r="K440" s="307"/>
      <c r="L440" s="307"/>
      <c r="M440" s="307"/>
    </row>
    <row r="441" spans="2:13">
      <c r="B441" s="505"/>
      <c r="C441" s="307"/>
      <c r="D441" s="307"/>
      <c r="E441" s="307"/>
      <c r="F441" s="307"/>
      <c r="G441" s="307"/>
      <c r="H441" s="307"/>
      <c r="I441" s="307"/>
      <c r="J441" s="307"/>
      <c r="K441" s="307"/>
      <c r="L441" s="307"/>
      <c r="M441" s="307"/>
    </row>
    <row r="442" spans="2:13">
      <c r="B442" s="505"/>
      <c r="C442" s="307"/>
      <c r="D442" s="307"/>
      <c r="E442" s="307"/>
      <c r="F442" s="307"/>
      <c r="G442" s="307"/>
      <c r="H442" s="307"/>
      <c r="I442" s="307"/>
      <c r="J442" s="307"/>
      <c r="K442" s="307"/>
      <c r="L442" s="307"/>
      <c r="M442" s="307"/>
    </row>
    <row r="443" spans="2:13">
      <c r="B443" s="505"/>
      <c r="C443" s="307"/>
      <c r="D443" s="307"/>
      <c r="E443" s="307"/>
      <c r="F443" s="307"/>
      <c r="G443" s="307"/>
      <c r="H443" s="307"/>
      <c r="I443" s="307"/>
      <c r="J443" s="307"/>
      <c r="K443" s="307"/>
      <c r="L443" s="307"/>
      <c r="M443" s="307"/>
    </row>
    <row r="444" spans="2:13">
      <c r="B444" s="505"/>
      <c r="C444" s="307"/>
      <c r="D444" s="307"/>
      <c r="E444" s="307"/>
      <c r="F444" s="307"/>
      <c r="G444" s="307"/>
      <c r="H444" s="307"/>
      <c r="I444" s="307"/>
      <c r="J444" s="307"/>
      <c r="K444" s="307"/>
      <c r="L444" s="307"/>
      <c r="M444" s="307"/>
    </row>
    <row r="445" spans="2:13">
      <c r="B445" s="505"/>
      <c r="C445" s="307"/>
      <c r="D445" s="307"/>
      <c r="E445" s="307"/>
      <c r="F445" s="307"/>
      <c r="G445" s="307"/>
      <c r="H445" s="307"/>
      <c r="I445" s="307"/>
      <c r="J445" s="307"/>
      <c r="K445" s="307"/>
      <c r="L445" s="307"/>
      <c r="M445" s="307"/>
    </row>
    <row r="446" spans="2:13">
      <c r="B446" s="505"/>
      <c r="C446" s="307"/>
      <c r="D446" s="307"/>
      <c r="E446" s="307"/>
      <c r="F446" s="307"/>
      <c r="G446" s="307"/>
      <c r="H446" s="307"/>
      <c r="I446" s="307"/>
      <c r="J446" s="307"/>
      <c r="K446" s="307"/>
      <c r="L446" s="307"/>
      <c r="M446" s="307"/>
    </row>
    <row r="447" spans="2:13">
      <c r="B447" s="505"/>
      <c r="C447" s="307"/>
      <c r="D447" s="307"/>
      <c r="E447" s="307"/>
      <c r="F447" s="307"/>
      <c r="G447" s="307"/>
      <c r="H447" s="307"/>
      <c r="I447" s="307"/>
      <c r="J447" s="307"/>
      <c r="K447" s="307"/>
      <c r="L447" s="307"/>
      <c r="M447" s="307"/>
    </row>
    <row r="448" spans="2:13">
      <c r="B448" s="505"/>
      <c r="C448" s="307"/>
      <c r="D448" s="307"/>
      <c r="E448" s="307"/>
      <c r="F448" s="307"/>
      <c r="G448" s="307"/>
      <c r="H448" s="307"/>
      <c r="I448" s="307"/>
      <c r="J448" s="307"/>
      <c r="K448" s="307"/>
      <c r="L448" s="307"/>
      <c r="M448" s="307"/>
    </row>
    <row r="449" spans="2:13">
      <c r="B449" s="505"/>
      <c r="C449" s="307"/>
      <c r="D449" s="307"/>
      <c r="E449" s="307"/>
      <c r="F449" s="307"/>
      <c r="G449" s="307"/>
      <c r="H449" s="307"/>
      <c r="I449" s="307"/>
      <c r="J449" s="307"/>
      <c r="K449" s="307"/>
      <c r="L449" s="307"/>
      <c r="M449" s="307"/>
    </row>
    <row r="450" spans="2:13">
      <c r="B450" s="505"/>
      <c r="C450" s="307"/>
      <c r="D450" s="307"/>
      <c r="E450" s="307"/>
      <c r="F450" s="307"/>
      <c r="G450" s="307"/>
      <c r="H450" s="307"/>
      <c r="I450" s="307"/>
      <c r="J450" s="307"/>
      <c r="K450" s="307"/>
      <c r="L450" s="307"/>
      <c r="M450" s="307"/>
    </row>
    <row r="451" spans="2:13">
      <c r="B451" s="505"/>
      <c r="C451" s="307"/>
      <c r="D451" s="307"/>
      <c r="E451" s="307"/>
      <c r="F451" s="307"/>
      <c r="G451" s="307"/>
      <c r="H451" s="307"/>
      <c r="I451" s="307"/>
      <c r="J451" s="307"/>
      <c r="K451" s="307"/>
      <c r="L451" s="307"/>
      <c r="M451" s="307"/>
    </row>
    <row r="452" spans="2:13">
      <c r="B452" s="505"/>
      <c r="C452" s="307"/>
      <c r="D452" s="307"/>
      <c r="E452" s="307"/>
      <c r="F452" s="307"/>
      <c r="G452" s="307"/>
      <c r="H452" s="307"/>
      <c r="I452" s="307"/>
      <c r="J452" s="307"/>
      <c r="K452" s="307"/>
      <c r="L452" s="307"/>
      <c r="M452" s="307"/>
    </row>
    <row r="453" spans="2:13">
      <c r="B453" s="505"/>
      <c r="C453" s="307"/>
      <c r="D453" s="307"/>
      <c r="E453" s="307"/>
      <c r="F453" s="307"/>
      <c r="G453" s="307"/>
      <c r="H453" s="307"/>
      <c r="I453" s="307"/>
      <c r="J453" s="307"/>
      <c r="K453" s="307"/>
      <c r="L453" s="307"/>
      <c r="M453" s="307"/>
    </row>
    <row r="454" spans="2:13">
      <c r="B454" s="505"/>
      <c r="C454" s="307"/>
      <c r="D454" s="307"/>
      <c r="E454" s="307"/>
      <c r="F454" s="307"/>
      <c r="G454" s="307"/>
      <c r="H454" s="307"/>
      <c r="I454" s="307"/>
      <c r="J454" s="307"/>
      <c r="K454" s="307"/>
      <c r="L454" s="307"/>
      <c r="M454" s="307"/>
    </row>
    <row r="455" spans="2:13">
      <c r="B455" s="505"/>
      <c r="C455" s="307"/>
      <c r="D455" s="307"/>
      <c r="E455" s="307"/>
      <c r="F455" s="307"/>
      <c r="G455" s="307"/>
      <c r="H455" s="307"/>
      <c r="I455" s="307"/>
      <c r="J455" s="307"/>
      <c r="K455" s="307"/>
      <c r="L455" s="307"/>
      <c r="M455" s="307"/>
    </row>
    <row r="456" spans="2:13">
      <c r="B456" s="505"/>
      <c r="C456" s="307"/>
      <c r="D456" s="307"/>
      <c r="E456" s="307"/>
      <c r="F456" s="307"/>
      <c r="G456" s="307"/>
      <c r="H456" s="307"/>
      <c r="I456" s="307"/>
      <c r="J456" s="307"/>
      <c r="K456" s="307"/>
      <c r="L456" s="307"/>
      <c r="M456" s="307"/>
    </row>
    <row r="457" spans="2:13">
      <c r="B457" s="505"/>
      <c r="C457" s="307"/>
      <c r="D457" s="307"/>
      <c r="E457" s="307"/>
      <c r="F457" s="307"/>
      <c r="G457" s="307"/>
      <c r="H457" s="307"/>
      <c r="I457" s="307"/>
      <c r="J457" s="307"/>
      <c r="K457" s="307"/>
      <c r="L457" s="307"/>
      <c r="M457" s="307"/>
    </row>
    <row r="458" spans="2:13">
      <c r="B458" s="505"/>
      <c r="C458" s="307"/>
      <c r="D458" s="307"/>
      <c r="E458" s="307"/>
      <c r="F458" s="307"/>
      <c r="G458" s="307"/>
      <c r="H458" s="307"/>
      <c r="I458" s="307"/>
      <c r="J458" s="307"/>
      <c r="K458" s="307"/>
      <c r="L458" s="307"/>
      <c r="M458" s="307"/>
    </row>
    <row r="459" spans="2:13">
      <c r="B459" s="505"/>
      <c r="C459" s="307"/>
      <c r="D459" s="307"/>
      <c r="E459" s="307"/>
      <c r="F459" s="307"/>
      <c r="G459" s="307"/>
      <c r="H459" s="307"/>
      <c r="I459" s="307"/>
      <c r="J459" s="307"/>
      <c r="K459" s="307"/>
      <c r="L459" s="307"/>
      <c r="M459" s="307"/>
    </row>
    <row r="460" spans="2:13">
      <c r="B460" s="505"/>
      <c r="C460" s="307"/>
      <c r="D460" s="307"/>
      <c r="E460" s="307"/>
      <c r="F460" s="307"/>
      <c r="G460" s="307"/>
      <c r="H460" s="307"/>
      <c r="I460" s="307"/>
      <c r="J460" s="307"/>
      <c r="K460" s="307"/>
      <c r="L460" s="307"/>
      <c r="M460" s="307"/>
    </row>
    <row r="461" spans="2:13">
      <c r="B461" s="505"/>
      <c r="C461" s="307"/>
      <c r="D461" s="307"/>
      <c r="E461" s="307"/>
      <c r="F461" s="307"/>
      <c r="G461" s="307"/>
      <c r="H461" s="307"/>
      <c r="I461" s="307"/>
      <c r="J461" s="307"/>
      <c r="K461" s="307"/>
      <c r="L461" s="307"/>
      <c r="M461" s="307"/>
    </row>
    <row r="462" spans="2:13">
      <c r="B462" s="505"/>
      <c r="C462" s="307"/>
      <c r="D462" s="307"/>
      <c r="E462" s="307"/>
      <c r="F462" s="307"/>
      <c r="G462" s="307"/>
      <c r="H462" s="307"/>
      <c r="I462" s="307"/>
      <c r="J462" s="307"/>
      <c r="K462" s="307"/>
      <c r="L462" s="307"/>
      <c r="M462" s="307"/>
    </row>
    <row r="463" spans="2:13">
      <c r="B463" s="505"/>
      <c r="C463" s="307"/>
      <c r="D463" s="307"/>
      <c r="E463" s="307"/>
      <c r="F463" s="307"/>
      <c r="G463" s="307"/>
      <c r="H463" s="307"/>
      <c r="I463" s="307"/>
      <c r="J463" s="307"/>
      <c r="K463" s="307"/>
      <c r="L463" s="307"/>
      <c r="M463" s="307"/>
    </row>
    <row r="464" spans="2:13">
      <c r="B464" s="505"/>
      <c r="C464" s="307"/>
      <c r="D464" s="307"/>
      <c r="E464" s="307"/>
      <c r="F464" s="307"/>
      <c r="G464" s="307"/>
      <c r="H464" s="307"/>
      <c r="I464" s="307"/>
      <c r="J464" s="307"/>
      <c r="K464" s="307"/>
      <c r="L464" s="307"/>
      <c r="M464" s="307"/>
    </row>
    <row r="465" spans="2:13">
      <c r="B465" s="505"/>
      <c r="C465" s="307"/>
      <c r="D465" s="307"/>
      <c r="E465" s="307"/>
      <c r="F465" s="307"/>
      <c r="G465" s="307"/>
      <c r="H465" s="307"/>
      <c r="I465" s="307"/>
      <c r="J465" s="307"/>
      <c r="K465" s="307"/>
      <c r="L465" s="307"/>
      <c r="M465" s="307"/>
    </row>
    <row r="466" spans="2:13">
      <c r="B466" s="505"/>
      <c r="C466" s="307"/>
      <c r="D466" s="307"/>
      <c r="E466" s="307"/>
      <c r="F466" s="307"/>
      <c r="G466" s="307"/>
      <c r="H466" s="307"/>
      <c r="I466" s="307"/>
      <c r="J466" s="307"/>
      <c r="K466" s="307"/>
      <c r="L466" s="307"/>
      <c r="M466" s="307"/>
    </row>
    <row r="467" spans="2:13">
      <c r="B467" s="505"/>
      <c r="C467" s="307"/>
      <c r="D467" s="307"/>
      <c r="E467" s="307"/>
      <c r="F467" s="307"/>
      <c r="G467" s="307"/>
      <c r="H467" s="307"/>
      <c r="I467" s="307"/>
      <c r="J467" s="307"/>
      <c r="K467" s="307"/>
      <c r="L467" s="307"/>
      <c r="M467" s="307"/>
    </row>
    <row r="468" spans="2:13">
      <c r="B468" s="505"/>
      <c r="C468" s="307"/>
      <c r="D468" s="307"/>
      <c r="E468" s="307"/>
      <c r="F468" s="307"/>
      <c r="G468" s="307"/>
      <c r="H468" s="307"/>
      <c r="I468" s="307"/>
      <c r="J468" s="307"/>
      <c r="K468" s="307"/>
      <c r="L468" s="307"/>
      <c r="M468" s="307"/>
    </row>
    <row r="469" spans="2:13">
      <c r="B469" s="505"/>
      <c r="C469" s="307"/>
      <c r="D469" s="307"/>
      <c r="E469" s="307"/>
      <c r="F469" s="307"/>
      <c r="G469" s="307"/>
      <c r="H469" s="307"/>
      <c r="I469" s="307"/>
      <c r="J469" s="307"/>
      <c r="K469" s="307"/>
      <c r="L469" s="307"/>
      <c r="M469" s="307"/>
    </row>
    <row r="470" spans="2:13">
      <c r="B470" s="505"/>
      <c r="C470" s="307"/>
      <c r="D470" s="307"/>
      <c r="E470" s="307"/>
      <c r="F470" s="307"/>
      <c r="G470" s="307"/>
      <c r="H470" s="307"/>
      <c r="I470" s="307"/>
      <c r="J470" s="307"/>
      <c r="K470" s="307"/>
      <c r="L470" s="307"/>
      <c r="M470" s="307"/>
    </row>
    <row r="471" spans="2:13">
      <c r="B471" s="505"/>
      <c r="C471" s="307"/>
      <c r="D471" s="307"/>
      <c r="E471" s="307"/>
      <c r="F471" s="307"/>
      <c r="G471" s="307"/>
      <c r="H471" s="307"/>
      <c r="I471" s="307"/>
      <c r="J471" s="307"/>
      <c r="K471" s="307"/>
      <c r="L471" s="307"/>
      <c r="M471" s="307"/>
    </row>
    <row r="472" spans="2:13">
      <c r="B472" s="505"/>
      <c r="C472" s="307"/>
      <c r="D472" s="307"/>
      <c r="E472" s="307"/>
      <c r="F472" s="307"/>
      <c r="G472" s="307"/>
      <c r="H472" s="307"/>
      <c r="I472" s="307"/>
      <c r="J472" s="307"/>
      <c r="K472" s="307"/>
      <c r="L472" s="307"/>
      <c r="M472" s="307"/>
    </row>
    <row r="473" spans="2:13">
      <c r="B473" s="505"/>
      <c r="C473" s="307"/>
      <c r="D473" s="307"/>
      <c r="E473" s="307"/>
      <c r="F473" s="307"/>
      <c r="G473" s="307"/>
      <c r="H473" s="307"/>
      <c r="I473" s="307"/>
      <c r="J473" s="307"/>
      <c r="K473" s="307"/>
      <c r="L473" s="307"/>
      <c r="M473" s="307"/>
    </row>
    <row r="474" spans="2:13">
      <c r="B474" s="505"/>
      <c r="C474" s="307"/>
      <c r="D474" s="307"/>
      <c r="E474" s="307"/>
      <c r="F474" s="307"/>
      <c r="G474" s="307"/>
      <c r="H474" s="307"/>
      <c r="I474" s="307"/>
      <c r="J474" s="307"/>
      <c r="K474" s="307"/>
      <c r="L474" s="307"/>
      <c r="M474" s="307"/>
    </row>
    <row r="475" spans="2:13">
      <c r="B475" s="505"/>
      <c r="C475" s="307"/>
      <c r="D475" s="307"/>
      <c r="E475" s="307"/>
      <c r="F475" s="307"/>
      <c r="G475" s="307"/>
      <c r="H475" s="307"/>
      <c r="I475" s="307"/>
      <c r="J475" s="307"/>
      <c r="K475" s="307"/>
      <c r="L475" s="307"/>
      <c r="M475" s="307"/>
    </row>
    <row r="476" spans="2:13">
      <c r="B476" s="505"/>
      <c r="C476" s="307"/>
      <c r="D476" s="307"/>
      <c r="E476" s="307"/>
      <c r="F476" s="307"/>
      <c r="G476" s="307"/>
      <c r="H476" s="307"/>
      <c r="I476" s="307"/>
      <c r="J476" s="307"/>
      <c r="K476" s="307"/>
      <c r="L476" s="307"/>
      <c r="M476" s="307"/>
    </row>
    <row r="477" spans="2:13">
      <c r="B477" s="505"/>
      <c r="C477" s="307"/>
      <c r="D477" s="307"/>
      <c r="E477" s="307"/>
      <c r="F477" s="307"/>
      <c r="G477" s="307"/>
      <c r="H477" s="307"/>
      <c r="I477" s="307"/>
      <c r="J477" s="307"/>
      <c r="K477" s="307"/>
      <c r="L477" s="307"/>
      <c r="M477" s="307"/>
    </row>
    <row r="478" spans="2:13">
      <c r="B478" s="505"/>
      <c r="C478" s="307"/>
      <c r="D478" s="307"/>
      <c r="E478" s="307"/>
      <c r="F478" s="307"/>
      <c r="G478" s="307"/>
      <c r="H478" s="307"/>
      <c r="I478" s="307"/>
      <c r="J478" s="307"/>
      <c r="K478" s="307"/>
      <c r="L478" s="307"/>
      <c r="M478" s="307"/>
    </row>
    <row r="479" spans="2:13">
      <c r="B479" s="505"/>
      <c r="C479" s="307"/>
      <c r="D479" s="307"/>
      <c r="E479" s="307"/>
      <c r="F479" s="307"/>
      <c r="G479" s="307"/>
      <c r="H479" s="307"/>
      <c r="I479" s="307"/>
      <c r="J479" s="307"/>
      <c r="K479" s="307"/>
      <c r="L479" s="307"/>
      <c r="M479" s="307"/>
    </row>
    <row r="480" spans="2:13">
      <c r="B480" s="505"/>
      <c r="C480" s="307"/>
      <c r="D480" s="307"/>
      <c r="E480" s="307"/>
      <c r="F480" s="307"/>
      <c r="G480" s="307"/>
      <c r="H480" s="307"/>
      <c r="I480" s="307"/>
      <c r="J480" s="307"/>
      <c r="K480" s="307"/>
      <c r="L480" s="307"/>
      <c r="M480" s="307"/>
    </row>
    <row r="481" spans="2:13">
      <c r="B481" s="505"/>
      <c r="C481" s="307"/>
      <c r="D481" s="307"/>
      <c r="E481" s="307"/>
      <c r="F481" s="307"/>
      <c r="G481" s="307"/>
      <c r="H481" s="307"/>
      <c r="I481" s="307"/>
      <c r="J481" s="307"/>
      <c r="K481" s="307"/>
      <c r="L481" s="307"/>
      <c r="M481" s="307"/>
    </row>
    <row r="482" spans="2:13">
      <c r="B482" s="505"/>
      <c r="C482" s="307"/>
      <c r="D482" s="307"/>
      <c r="E482" s="307"/>
      <c r="F482" s="307"/>
      <c r="G482" s="307"/>
      <c r="H482" s="307"/>
      <c r="I482" s="307"/>
      <c r="J482" s="307"/>
      <c r="K482" s="307"/>
      <c r="L482" s="307"/>
      <c r="M482" s="307"/>
    </row>
    <row r="483" spans="2:13">
      <c r="B483" s="505"/>
      <c r="C483" s="307"/>
      <c r="D483" s="307"/>
      <c r="E483" s="307"/>
      <c r="F483" s="307"/>
      <c r="G483" s="307"/>
      <c r="H483" s="307"/>
      <c r="I483" s="307"/>
      <c r="J483" s="307"/>
      <c r="K483" s="307"/>
      <c r="L483" s="307"/>
      <c r="M483" s="307"/>
    </row>
    <row r="484" spans="2:13">
      <c r="B484" s="505"/>
      <c r="C484" s="307"/>
      <c r="D484" s="307"/>
      <c r="E484" s="307"/>
      <c r="F484" s="307"/>
      <c r="G484" s="307"/>
      <c r="H484" s="307"/>
      <c r="I484" s="307"/>
      <c r="J484" s="307"/>
      <c r="K484" s="307"/>
      <c r="L484" s="307"/>
      <c r="M484" s="307"/>
    </row>
    <row r="485" spans="2:13">
      <c r="B485" s="505"/>
      <c r="C485" s="307"/>
      <c r="D485" s="307"/>
      <c r="E485" s="307"/>
      <c r="F485" s="307"/>
      <c r="G485" s="307"/>
      <c r="H485" s="307"/>
      <c r="I485" s="307"/>
      <c r="J485" s="307"/>
      <c r="K485" s="307"/>
      <c r="L485" s="307"/>
      <c r="M485" s="307"/>
    </row>
    <row r="486" spans="2:13">
      <c r="B486" s="505"/>
      <c r="C486" s="307"/>
      <c r="D486" s="307"/>
      <c r="E486" s="307"/>
      <c r="F486" s="307"/>
      <c r="G486" s="307"/>
      <c r="H486" s="307"/>
      <c r="I486" s="307"/>
      <c r="J486" s="307"/>
      <c r="K486" s="307"/>
      <c r="L486" s="307"/>
      <c r="M486" s="307"/>
    </row>
    <row r="487" spans="2:13">
      <c r="B487" s="505"/>
      <c r="C487" s="307"/>
      <c r="D487" s="307"/>
      <c r="E487" s="307"/>
      <c r="F487" s="307"/>
      <c r="G487" s="307"/>
      <c r="H487" s="307"/>
      <c r="I487" s="307"/>
      <c r="J487" s="307"/>
      <c r="K487" s="307"/>
      <c r="L487" s="307"/>
      <c r="M487" s="307"/>
    </row>
    <row r="488" spans="2:13">
      <c r="B488" s="505"/>
      <c r="C488" s="307"/>
      <c r="D488" s="307"/>
      <c r="E488" s="307"/>
      <c r="F488" s="307"/>
      <c r="G488" s="307"/>
      <c r="H488" s="307"/>
      <c r="I488" s="307"/>
      <c r="J488" s="307"/>
      <c r="K488" s="307"/>
      <c r="L488" s="307"/>
      <c r="M488" s="307"/>
    </row>
    <row r="489" spans="2:13">
      <c r="B489" s="505"/>
      <c r="C489" s="307"/>
      <c r="D489" s="307"/>
      <c r="E489" s="307"/>
      <c r="F489" s="307"/>
      <c r="G489" s="307"/>
      <c r="H489" s="307"/>
      <c r="I489" s="307"/>
      <c r="J489" s="307"/>
      <c r="K489" s="307"/>
      <c r="L489" s="307"/>
      <c r="M489" s="307"/>
    </row>
    <row r="490" spans="2:13">
      <c r="B490" s="505"/>
      <c r="C490" s="307"/>
      <c r="D490" s="307"/>
      <c r="E490" s="307"/>
      <c r="F490" s="307"/>
      <c r="G490" s="307"/>
      <c r="H490" s="307"/>
      <c r="I490" s="307"/>
      <c r="J490" s="307"/>
      <c r="K490" s="307"/>
      <c r="L490" s="307"/>
      <c r="M490" s="307"/>
    </row>
    <row r="491" spans="2:13">
      <c r="B491" s="505"/>
      <c r="C491" s="307"/>
      <c r="D491" s="307"/>
      <c r="E491" s="307"/>
      <c r="F491" s="307"/>
      <c r="G491" s="307"/>
      <c r="H491" s="307"/>
      <c r="I491" s="307"/>
      <c r="J491" s="307"/>
      <c r="K491" s="307"/>
      <c r="L491" s="307"/>
      <c r="M491" s="307"/>
    </row>
    <row r="492" spans="2:13">
      <c r="B492" s="505"/>
      <c r="C492" s="307"/>
      <c r="D492" s="307"/>
      <c r="E492" s="307"/>
      <c r="F492" s="307"/>
      <c r="G492" s="307"/>
      <c r="H492" s="307"/>
      <c r="I492" s="307"/>
      <c r="J492" s="307"/>
      <c r="K492" s="307"/>
      <c r="L492" s="307"/>
      <c r="M492" s="307"/>
    </row>
    <row r="493" spans="2:13">
      <c r="B493" s="505"/>
      <c r="C493" s="307"/>
      <c r="D493" s="307"/>
      <c r="E493" s="307"/>
      <c r="F493" s="307"/>
      <c r="G493" s="307"/>
      <c r="H493" s="307"/>
      <c r="I493" s="307"/>
      <c r="J493" s="307"/>
      <c r="K493" s="307"/>
      <c r="L493" s="307"/>
      <c r="M493" s="307"/>
    </row>
    <row r="494" spans="2:13">
      <c r="B494" s="505"/>
      <c r="C494" s="307"/>
      <c r="D494" s="307"/>
      <c r="E494" s="307"/>
      <c r="F494" s="307"/>
      <c r="G494" s="307"/>
      <c r="H494" s="307"/>
      <c r="I494" s="307"/>
      <c r="J494" s="307"/>
      <c r="K494" s="307"/>
      <c r="L494" s="307"/>
      <c r="M494" s="307"/>
    </row>
    <row r="495" spans="2:13">
      <c r="B495" s="505"/>
      <c r="C495" s="307"/>
      <c r="D495" s="307"/>
      <c r="E495" s="307"/>
      <c r="F495" s="307"/>
      <c r="G495" s="307"/>
      <c r="H495" s="307"/>
      <c r="I495" s="307"/>
      <c r="J495" s="307"/>
      <c r="K495" s="307"/>
      <c r="L495" s="307"/>
      <c r="M495" s="307"/>
    </row>
    <row r="496" spans="2:13">
      <c r="B496" s="505"/>
      <c r="C496" s="307"/>
      <c r="D496" s="307"/>
      <c r="E496" s="307"/>
      <c r="F496" s="307"/>
      <c r="G496" s="307"/>
      <c r="H496" s="307"/>
      <c r="I496" s="307"/>
      <c r="J496" s="307"/>
      <c r="K496" s="307"/>
      <c r="L496" s="307"/>
      <c r="M496" s="307"/>
    </row>
    <row r="497" spans="2:13">
      <c r="B497" s="505"/>
      <c r="C497" s="307"/>
      <c r="D497" s="307"/>
      <c r="E497" s="307"/>
      <c r="F497" s="307"/>
      <c r="G497" s="307"/>
      <c r="H497" s="307"/>
      <c r="I497" s="307"/>
      <c r="J497" s="307"/>
      <c r="K497" s="307"/>
      <c r="L497" s="307"/>
      <c r="M497" s="307"/>
    </row>
    <row r="498" spans="2:13">
      <c r="B498" s="505"/>
      <c r="C498" s="307"/>
      <c r="D498" s="307"/>
      <c r="E498" s="307"/>
      <c r="F498" s="307"/>
      <c r="G498" s="307"/>
      <c r="H498" s="307"/>
      <c r="I498" s="307"/>
      <c r="J498" s="307"/>
      <c r="K498" s="307"/>
      <c r="L498" s="307"/>
      <c r="M498" s="307"/>
    </row>
    <row r="499" spans="2:13">
      <c r="B499" s="505"/>
      <c r="C499" s="307"/>
      <c r="D499" s="307"/>
      <c r="E499" s="307"/>
      <c r="F499" s="307"/>
      <c r="G499" s="307"/>
      <c r="H499" s="307"/>
      <c r="I499" s="307"/>
      <c r="J499" s="307"/>
      <c r="K499" s="307"/>
      <c r="L499" s="307"/>
      <c r="M499" s="307"/>
    </row>
    <row r="500" spans="2:13">
      <c r="B500" s="505"/>
      <c r="C500" s="307"/>
      <c r="D500" s="307"/>
      <c r="E500" s="307"/>
      <c r="F500" s="307"/>
      <c r="G500" s="307"/>
      <c r="H500" s="307"/>
      <c r="I500" s="307"/>
      <c r="J500" s="307"/>
      <c r="K500" s="307"/>
      <c r="L500" s="307"/>
      <c r="M500" s="307"/>
    </row>
    <row r="501" spans="2:13">
      <c r="B501" s="505"/>
      <c r="C501" s="307"/>
      <c r="D501" s="307"/>
      <c r="E501" s="307"/>
      <c r="F501" s="307"/>
      <c r="G501" s="307"/>
      <c r="H501" s="307"/>
      <c r="I501" s="307"/>
      <c r="J501" s="307"/>
      <c r="K501" s="307"/>
      <c r="L501" s="307"/>
      <c r="M501" s="307"/>
    </row>
    <row r="502" spans="2:13">
      <c r="B502" s="505"/>
      <c r="C502" s="307"/>
      <c r="D502" s="307"/>
      <c r="E502" s="307"/>
      <c r="F502" s="307"/>
      <c r="G502" s="307"/>
      <c r="H502" s="307"/>
      <c r="I502" s="307"/>
      <c r="J502" s="307"/>
      <c r="K502" s="307"/>
      <c r="L502" s="307"/>
      <c r="M502" s="307"/>
    </row>
    <row r="503" spans="2:13">
      <c r="B503" s="505"/>
      <c r="C503" s="307"/>
      <c r="D503" s="307"/>
      <c r="E503" s="307"/>
      <c r="F503" s="307"/>
      <c r="G503" s="307"/>
      <c r="H503" s="307"/>
      <c r="I503" s="307"/>
      <c r="J503" s="307"/>
      <c r="K503" s="307"/>
      <c r="L503" s="307"/>
      <c r="M503" s="307"/>
    </row>
    <row r="504" spans="2:13">
      <c r="B504" s="505"/>
      <c r="C504" s="307"/>
      <c r="D504" s="307"/>
      <c r="E504" s="307"/>
      <c r="F504" s="307"/>
      <c r="G504" s="307"/>
      <c r="H504" s="307"/>
      <c r="I504" s="307"/>
      <c r="J504" s="307"/>
      <c r="K504" s="307"/>
      <c r="L504" s="307"/>
      <c r="M504" s="307"/>
    </row>
    <row r="505" spans="2:13">
      <c r="B505" s="505"/>
      <c r="C505" s="307"/>
      <c r="D505" s="307"/>
      <c r="E505" s="307"/>
      <c r="F505" s="307"/>
      <c r="G505" s="307"/>
      <c r="H505" s="307"/>
      <c r="I505" s="307"/>
      <c r="J505" s="307"/>
      <c r="K505" s="307"/>
      <c r="L505" s="307"/>
      <c r="M505" s="307"/>
    </row>
    <row r="506" spans="2:13">
      <c r="B506" s="505"/>
      <c r="C506" s="307"/>
      <c r="D506" s="307"/>
      <c r="E506" s="307"/>
      <c r="F506" s="307"/>
      <c r="G506" s="307"/>
      <c r="H506" s="307"/>
      <c r="I506" s="307"/>
      <c r="J506" s="307"/>
      <c r="K506" s="307"/>
      <c r="L506" s="307"/>
      <c r="M506" s="307"/>
    </row>
    <row r="507" spans="2:13">
      <c r="B507" s="505"/>
      <c r="C507" s="307"/>
      <c r="D507" s="307"/>
      <c r="E507" s="307"/>
      <c r="F507" s="307"/>
      <c r="G507" s="307"/>
      <c r="H507" s="307"/>
      <c r="I507" s="307"/>
      <c r="J507" s="307"/>
      <c r="K507" s="307"/>
      <c r="L507" s="307"/>
      <c r="M507" s="307"/>
    </row>
    <row r="508" spans="2:13">
      <c r="B508" s="505"/>
      <c r="C508" s="307"/>
      <c r="D508" s="307"/>
      <c r="E508" s="307"/>
      <c r="F508" s="307"/>
      <c r="G508" s="307"/>
      <c r="H508" s="307"/>
      <c r="I508" s="307"/>
      <c r="J508" s="307"/>
      <c r="K508" s="307"/>
      <c r="L508" s="307"/>
      <c r="M508" s="307"/>
    </row>
    <row r="509" spans="2:13">
      <c r="B509" s="505"/>
      <c r="C509" s="307"/>
      <c r="D509" s="307"/>
      <c r="E509" s="307"/>
      <c r="F509" s="307"/>
      <c r="G509" s="307"/>
      <c r="H509" s="307"/>
      <c r="I509" s="307"/>
      <c r="J509" s="307"/>
      <c r="K509" s="307"/>
      <c r="L509" s="307"/>
      <c r="M509" s="307"/>
    </row>
    <row r="510" spans="2:13">
      <c r="B510" s="505"/>
      <c r="C510" s="307"/>
      <c r="D510" s="307"/>
      <c r="E510" s="307"/>
      <c r="F510" s="307"/>
      <c r="G510" s="307"/>
      <c r="H510" s="307"/>
      <c r="I510" s="307"/>
      <c r="J510" s="307"/>
      <c r="K510" s="307"/>
      <c r="L510" s="307"/>
      <c r="M510" s="307"/>
    </row>
    <row r="511" spans="2:13">
      <c r="B511" s="505"/>
      <c r="C511" s="307"/>
      <c r="D511" s="307"/>
      <c r="E511" s="307"/>
      <c r="F511" s="307"/>
      <c r="G511" s="307"/>
      <c r="H511" s="307"/>
      <c r="I511" s="307"/>
      <c r="J511" s="307"/>
      <c r="K511" s="307"/>
      <c r="L511" s="307"/>
      <c r="M511" s="307"/>
    </row>
    <row r="512" spans="2:13">
      <c r="B512" s="505"/>
      <c r="C512" s="307"/>
      <c r="D512" s="307"/>
      <c r="E512" s="307"/>
      <c r="F512" s="307"/>
      <c r="G512" s="307"/>
      <c r="H512" s="307"/>
      <c r="I512" s="307"/>
      <c r="J512" s="307"/>
      <c r="K512" s="307"/>
      <c r="L512" s="307"/>
      <c r="M512" s="307"/>
    </row>
    <row r="513" spans="2:13">
      <c r="B513" s="505"/>
      <c r="C513" s="307"/>
      <c r="D513" s="307"/>
      <c r="E513" s="307"/>
      <c r="F513" s="307"/>
      <c r="G513" s="307"/>
      <c r="H513" s="307"/>
      <c r="I513" s="307"/>
      <c r="J513" s="307"/>
      <c r="K513" s="307"/>
      <c r="L513" s="307"/>
      <c r="M513" s="307"/>
    </row>
    <row r="514" spans="2:13">
      <c r="B514" s="505"/>
      <c r="C514" s="307"/>
      <c r="D514" s="307"/>
      <c r="E514" s="307"/>
      <c r="F514" s="307"/>
      <c r="G514" s="307"/>
      <c r="H514" s="307"/>
      <c r="I514" s="307"/>
      <c r="J514" s="307"/>
      <c r="K514" s="307"/>
      <c r="L514" s="307"/>
      <c r="M514" s="307"/>
    </row>
    <row r="515" spans="2:13">
      <c r="B515" s="505"/>
      <c r="C515" s="307"/>
      <c r="D515" s="307"/>
      <c r="E515" s="307"/>
      <c r="F515" s="307"/>
      <c r="G515" s="307"/>
      <c r="H515" s="307"/>
      <c r="I515" s="307"/>
      <c r="J515" s="307"/>
      <c r="K515" s="307"/>
      <c r="L515" s="307"/>
      <c r="M515" s="307"/>
    </row>
    <row r="516" spans="2:13">
      <c r="B516" s="505"/>
      <c r="C516" s="307"/>
      <c r="D516" s="307"/>
      <c r="E516" s="307"/>
      <c r="F516" s="307"/>
      <c r="G516" s="307"/>
      <c r="H516" s="307"/>
      <c r="I516" s="307"/>
      <c r="J516" s="307"/>
      <c r="K516" s="307"/>
      <c r="L516" s="307"/>
      <c r="M516" s="307"/>
    </row>
    <row r="517" spans="2:13">
      <c r="B517" s="505"/>
      <c r="C517" s="307"/>
      <c r="D517" s="307"/>
      <c r="E517" s="307"/>
      <c r="F517" s="307"/>
      <c r="G517" s="307"/>
      <c r="H517" s="307"/>
      <c r="I517" s="307"/>
      <c r="J517" s="307"/>
      <c r="K517" s="307"/>
      <c r="L517" s="307"/>
      <c r="M517" s="307"/>
    </row>
    <row r="518" spans="2:13">
      <c r="B518" s="505"/>
      <c r="C518" s="307"/>
      <c r="D518" s="307"/>
      <c r="E518" s="307"/>
      <c r="F518" s="307"/>
      <c r="G518" s="307"/>
      <c r="H518" s="307"/>
      <c r="I518" s="307"/>
      <c r="J518" s="307"/>
      <c r="K518" s="307"/>
      <c r="L518" s="307"/>
      <c r="M518" s="307"/>
    </row>
    <row r="519" spans="2:13">
      <c r="B519" s="505"/>
      <c r="C519" s="307"/>
      <c r="D519" s="307"/>
      <c r="E519" s="307"/>
      <c r="F519" s="307"/>
      <c r="G519" s="307"/>
      <c r="H519" s="307"/>
      <c r="I519" s="307"/>
      <c r="J519" s="307"/>
      <c r="K519" s="307"/>
      <c r="L519" s="307"/>
      <c r="M519" s="307"/>
    </row>
    <row r="520" spans="2:13">
      <c r="B520" s="505"/>
      <c r="C520" s="307"/>
      <c r="D520" s="307"/>
      <c r="E520" s="307"/>
      <c r="F520" s="307"/>
      <c r="G520" s="307"/>
      <c r="H520" s="307"/>
      <c r="I520" s="307"/>
      <c r="J520" s="307"/>
      <c r="K520" s="307"/>
      <c r="L520" s="307"/>
      <c r="M520" s="307"/>
    </row>
    <row r="521" spans="2:13">
      <c r="B521" s="505"/>
      <c r="C521" s="307"/>
      <c r="D521" s="307"/>
      <c r="E521" s="307"/>
      <c r="F521" s="307"/>
      <c r="G521" s="307"/>
      <c r="H521" s="307"/>
      <c r="I521" s="307"/>
      <c r="J521" s="307"/>
      <c r="K521" s="307"/>
      <c r="L521" s="307"/>
      <c r="M521" s="307"/>
    </row>
    <row r="522" spans="2:13">
      <c r="B522" s="505"/>
      <c r="C522" s="307"/>
      <c r="D522" s="307"/>
      <c r="E522" s="307"/>
      <c r="F522" s="307"/>
      <c r="G522" s="307"/>
      <c r="H522" s="307"/>
      <c r="I522" s="307"/>
      <c r="J522" s="307"/>
      <c r="K522" s="307"/>
      <c r="L522" s="307"/>
      <c r="M522" s="307"/>
    </row>
    <row r="523" spans="2:13">
      <c r="B523" s="505"/>
      <c r="C523" s="307"/>
      <c r="D523" s="307"/>
      <c r="E523" s="307"/>
      <c r="F523" s="307"/>
      <c r="G523" s="307"/>
      <c r="H523" s="307"/>
      <c r="I523" s="307"/>
      <c r="J523" s="307"/>
      <c r="K523" s="307"/>
      <c r="L523" s="307"/>
      <c r="M523" s="307"/>
    </row>
    <row r="524" spans="2:13">
      <c r="B524" s="505"/>
      <c r="C524" s="307"/>
      <c r="D524" s="307"/>
      <c r="E524" s="307"/>
      <c r="F524" s="307"/>
      <c r="G524" s="307"/>
      <c r="H524" s="307"/>
      <c r="I524" s="307"/>
      <c r="J524" s="307"/>
      <c r="K524" s="307"/>
      <c r="L524" s="307"/>
      <c r="M524" s="307"/>
    </row>
    <row r="525" spans="2:13">
      <c r="B525" s="505"/>
      <c r="C525" s="307"/>
      <c r="D525" s="307"/>
      <c r="E525" s="307"/>
      <c r="F525" s="307"/>
      <c r="G525" s="307"/>
      <c r="H525" s="307"/>
      <c r="I525" s="307"/>
      <c r="J525" s="307"/>
      <c r="K525" s="307"/>
      <c r="L525" s="307"/>
      <c r="M525" s="307"/>
    </row>
    <row r="526" spans="2:13">
      <c r="B526" s="505"/>
      <c r="C526" s="307"/>
      <c r="D526" s="307"/>
      <c r="E526" s="307"/>
      <c r="F526" s="307"/>
      <c r="G526" s="307"/>
      <c r="H526" s="307"/>
      <c r="I526" s="307"/>
      <c r="J526" s="307"/>
      <c r="K526" s="307"/>
      <c r="L526" s="307"/>
      <c r="M526" s="307"/>
    </row>
    <row r="527" spans="2:13">
      <c r="B527" s="505"/>
      <c r="C527" s="307"/>
      <c r="D527" s="307"/>
      <c r="E527" s="307"/>
      <c r="F527" s="307"/>
      <c r="G527" s="307"/>
      <c r="H527" s="307"/>
      <c r="I527" s="307"/>
      <c r="J527" s="307"/>
      <c r="K527" s="307"/>
      <c r="L527" s="307"/>
      <c r="M527" s="307"/>
    </row>
    <row r="528" spans="2:13">
      <c r="B528" s="505"/>
      <c r="C528" s="307"/>
      <c r="D528" s="307"/>
      <c r="E528" s="307"/>
      <c r="F528" s="307"/>
      <c r="G528" s="307"/>
      <c r="H528" s="307"/>
      <c r="I528" s="307"/>
      <c r="J528" s="307"/>
      <c r="K528" s="307"/>
      <c r="L528" s="307"/>
      <c r="M528" s="307"/>
    </row>
    <row r="529" spans="2:13">
      <c r="B529" s="505"/>
      <c r="C529" s="307"/>
      <c r="D529" s="307"/>
      <c r="E529" s="307"/>
      <c r="F529" s="307"/>
      <c r="G529" s="307"/>
      <c r="H529" s="307"/>
      <c r="I529" s="307"/>
      <c r="J529" s="307"/>
      <c r="K529" s="307"/>
      <c r="L529" s="307"/>
      <c r="M529" s="307"/>
    </row>
    <row r="530" spans="2:13">
      <c r="B530" s="505"/>
      <c r="C530" s="307"/>
      <c r="D530" s="307"/>
      <c r="E530" s="307"/>
      <c r="F530" s="307"/>
      <c r="G530" s="307"/>
      <c r="H530" s="307"/>
      <c r="I530" s="307"/>
      <c r="J530" s="307"/>
      <c r="K530" s="307"/>
      <c r="L530" s="307"/>
      <c r="M530" s="307"/>
    </row>
    <row r="531" spans="2:13">
      <c r="B531" s="505"/>
      <c r="C531" s="307"/>
      <c r="D531" s="307"/>
      <c r="E531" s="307"/>
      <c r="F531" s="307"/>
      <c r="G531" s="307"/>
      <c r="H531" s="307"/>
      <c r="I531" s="307"/>
      <c r="J531" s="307"/>
      <c r="K531" s="307"/>
      <c r="L531" s="307"/>
      <c r="M531" s="307"/>
    </row>
    <row r="532" spans="2:13">
      <c r="B532" s="505"/>
      <c r="C532" s="307"/>
      <c r="D532" s="307"/>
      <c r="E532" s="307"/>
      <c r="F532" s="307"/>
      <c r="G532" s="307"/>
      <c r="H532" s="307"/>
      <c r="I532" s="307"/>
      <c r="J532" s="307"/>
      <c r="K532" s="307"/>
      <c r="L532" s="307"/>
      <c r="M532" s="307"/>
    </row>
    <row r="533" spans="2:13">
      <c r="B533" s="505"/>
      <c r="C533" s="307"/>
      <c r="D533" s="307"/>
      <c r="E533" s="307"/>
      <c r="F533" s="307"/>
      <c r="G533" s="307"/>
      <c r="H533" s="307"/>
      <c r="I533" s="307"/>
      <c r="J533" s="307"/>
      <c r="K533" s="307"/>
      <c r="L533" s="307"/>
      <c r="M533" s="307"/>
    </row>
    <row r="534" spans="2:13">
      <c r="B534" s="505"/>
      <c r="C534" s="307"/>
      <c r="D534" s="307"/>
      <c r="E534" s="307"/>
      <c r="F534" s="307"/>
      <c r="G534" s="307"/>
      <c r="H534" s="307"/>
      <c r="I534" s="307"/>
      <c r="J534" s="307"/>
      <c r="K534" s="307"/>
      <c r="L534" s="307"/>
      <c r="M534" s="307"/>
    </row>
    <row r="535" spans="2:13">
      <c r="B535" s="505"/>
      <c r="C535" s="307"/>
      <c r="D535" s="307"/>
      <c r="E535" s="307"/>
      <c r="F535" s="307"/>
      <c r="G535" s="307"/>
      <c r="H535" s="307"/>
      <c r="I535" s="307"/>
      <c r="J535" s="307"/>
      <c r="K535" s="307"/>
      <c r="L535" s="307"/>
      <c r="M535" s="307"/>
    </row>
    <row r="536" spans="2:13">
      <c r="B536" s="505"/>
      <c r="C536" s="307"/>
      <c r="D536" s="307"/>
      <c r="E536" s="307"/>
      <c r="F536" s="307"/>
      <c r="G536" s="307"/>
      <c r="H536" s="307"/>
      <c r="I536" s="307"/>
      <c r="J536" s="307"/>
      <c r="K536" s="307"/>
      <c r="L536" s="307"/>
      <c r="M536" s="307"/>
    </row>
    <row r="537" spans="2:13">
      <c r="B537" s="505"/>
      <c r="C537" s="307"/>
      <c r="D537" s="307"/>
      <c r="E537" s="307"/>
      <c r="F537" s="307"/>
      <c r="G537" s="307"/>
      <c r="H537" s="307"/>
      <c r="I537" s="307"/>
      <c r="J537" s="307"/>
      <c r="K537" s="307"/>
      <c r="L537" s="307"/>
      <c r="M537" s="307"/>
    </row>
    <row r="538" spans="2:13">
      <c r="B538" s="505"/>
      <c r="C538" s="307"/>
      <c r="D538" s="307"/>
      <c r="E538" s="307"/>
      <c r="F538" s="307"/>
      <c r="G538" s="307"/>
      <c r="H538" s="307"/>
      <c r="I538" s="307"/>
      <c r="J538" s="307"/>
      <c r="K538" s="307"/>
      <c r="L538" s="307"/>
      <c r="M538" s="307"/>
    </row>
    <row r="539" spans="2:13">
      <c r="B539" s="505"/>
      <c r="C539" s="307"/>
      <c r="D539" s="307"/>
      <c r="E539" s="307"/>
      <c r="F539" s="307"/>
      <c r="G539" s="307"/>
      <c r="H539" s="307"/>
      <c r="I539" s="307"/>
      <c r="J539" s="307"/>
      <c r="K539" s="307"/>
      <c r="L539" s="307"/>
      <c r="M539" s="307"/>
    </row>
    <row r="540" spans="2:13">
      <c r="B540" s="505"/>
      <c r="C540" s="307"/>
      <c r="D540" s="307"/>
      <c r="E540" s="307"/>
      <c r="F540" s="307"/>
      <c r="G540" s="307"/>
      <c r="H540" s="307"/>
      <c r="I540" s="307"/>
      <c r="J540" s="307"/>
      <c r="K540" s="307"/>
      <c r="L540" s="307"/>
      <c r="M540" s="307"/>
    </row>
    <row r="541" spans="2:13">
      <c r="B541" s="505"/>
      <c r="C541" s="307"/>
      <c r="D541" s="307"/>
      <c r="E541" s="307"/>
      <c r="F541" s="307"/>
      <c r="G541" s="307"/>
      <c r="H541" s="307"/>
      <c r="I541" s="307"/>
      <c r="J541" s="307"/>
      <c r="K541" s="307"/>
      <c r="L541" s="307"/>
      <c r="M541" s="307"/>
    </row>
    <row r="542" spans="2:13">
      <c r="B542" s="505"/>
      <c r="C542" s="307"/>
      <c r="D542" s="307"/>
      <c r="E542" s="307"/>
      <c r="F542" s="307"/>
      <c r="G542" s="307"/>
      <c r="H542" s="307"/>
      <c r="I542" s="307"/>
      <c r="J542" s="307"/>
      <c r="K542" s="307"/>
      <c r="L542" s="307"/>
      <c r="M542" s="307"/>
    </row>
    <row r="543" spans="2:13">
      <c r="B543" s="505"/>
      <c r="C543" s="307"/>
      <c r="D543" s="307"/>
      <c r="E543" s="307"/>
      <c r="F543" s="307"/>
      <c r="G543" s="307"/>
      <c r="H543" s="307"/>
      <c r="I543" s="307"/>
      <c r="J543" s="307"/>
      <c r="K543" s="307"/>
      <c r="L543" s="307"/>
      <c r="M543" s="307"/>
    </row>
    <row r="544" spans="2:13">
      <c r="B544" s="505"/>
      <c r="C544" s="307"/>
      <c r="D544" s="307"/>
      <c r="E544" s="307"/>
      <c r="F544" s="307"/>
      <c r="G544" s="307"/>
      <c r="H544" s="307"/>
      <c r="I544" s="307"/>
      <c r="J544" s="307"/>
      <c r="K544" s="307"/>
      <c r="L544" s="307"/>
      <c r="M544" s="307"/>
    </row>
    <row r="545" spans="2:13">
      <c r="B545" s="505"/>
      <c r="C545" s="307"/>
      <c r="D545" s="307"/>
      <c r="E545" s="307"/>
      <c r="F545" s="307"/>
      <c r="G545" s="307"/>
      <c r="H545" s="307"/>
      <c r="I545" s="307"/>
      <c r="J545" s="307"/>
      <c r="K545" s="307"/>
      <c r="L545" s="307"/>
      <c r="M545" s="307"/>
    </row>
    <row r="546" spans="2:13">
      <c r="B546" s="505"/>
      <c r="C546" s="307"/>
      <c r="D546" s="307"/>
      <c r="E546" s="307"/>
      <c r="F546" s="307"/>
      <c r="G546" s="307"/>
      <c r="H546" s="307"/>
      <c r="I546" s="307"/>
      <c r="J546" s="307"/>
      <c r="K546" s="307"/>
      <c r="L546" s="307"/>
      <c r="M546" s="307"/>
    </row>
    <row r="547" spans="2:13">
      <c r="B547" s="505"/>
      <c r="C547" s="307"/>
      <c r="D547" s="307"/>
      <c r="E547" s="307"/>
      <c r="F547" s="307"/>
      <c r="G547" s="307"/>
      <c r="H547" s="307"/>
      <c r="I547" s="307"/>
      <c r="J547" s="307"/>
      <c r="K547" s="307"/>
      <c r="L547" s="307"/>
      <c r="M547" s="307"/>
    </row>
    <row r="548" spans="2:13">
      <c r="B548" s="505"/>
      <c r="C548" s="307"/>
      <c r="D548" s="307"/>
      <c r="E548" s="307"/>
      <c r="F548" s="307"/>
      <c r="G548" s="307"/>
      <c r="H548" s="307"/>
      <c r="I548" s="307"/>
      <c r="J548" s="307"/>
      <c r="K548" s="307"/>
      <c r="L548" s="307"/>
      <c r="M548" s="307"/>
    </row>
    <row r="549" spans="2:13">
      <c r="B549" s="505"/>
      <c r="C549" s="307"/>
      <c r="D549" s="307"/>
      <c r="E549" s="307"/>
      <c r="F549" s="307"/>
      <c r="G549" s="307"/>
      <c r="H549" s="307"/>
      <c r="I549" s="307"/>
      <c r="J549" s="307"/>
      <c r="K549" s="307"/>
      <c r="L549" s="307"/>
      <c r="M549" s="307"/>
    </row>
    <row r="550" spans="2:13">
      <c r="B550" s="505"/>
      <c r="C550" s="307"/>
      <c r="D550" s="307"/>
      <c r="E550" s="307"/>
      <c r="F550" s="307"/>
      <c r="G550" s="307"/>
      <c r="H550" s="307"/>
      <c r="I550" s="307"/>
      <c r="J550" s="307"/>
      <c r="K550" s="307"/>
      <c r="L550" s="307"/>
      <c r="M550" s="307"/>
    </row>
    <row r="551" spans="2:13">
      <c r="B551" s="505"/>
      <c r="C551" s="307"/>
      <c r="D551" s="307"/>
      <c r="E551" s="307"/>
      <c r="F551" s="307"/>
      <c r="G551" s="307"/>
      <c r="H551" s="307"/>
      <c r="I551" s="307"/>
      <c r="J551" s="307"/>
      <c r="K551" s="307"/>
      <c r="L551" s="307"/>
      <c r="M551" s="307"/>
    </row>
    <row r="552" spans="2:13">
      <c r="B552" s="505"/>
      <c r="C552" s="307"/>
      <c r="D552" s="307"/>
      <c r="E552" s="307"/>
      <c r="F552" s="307"/>
      <c r="G552" s="307"/>
      <c r="H552" s="307"/>
      <c r="I552" s="307"/>
      <c r="J552" s="307"/>
      <c r="K552" s="307"/>
      <c r="L552" s="307"/>
      <c r="M552" s="307"/>
    </row>
    <row r="553" spans="2:13">
      <c r="B553" s="505"/>
      <c r="C553" s="307"/>
      <c r="D553" s="307"/>
      <c r="E553" s="307"/>
      <c r="F553" s="307"/>
      <c r="G553" s="307"/>
      <c r="H553" s="307"/>
      <c r="I553" s="307"/>
      <c r="J553" s="307"/>
      <c r="K553" s="307"/>
      <c r="L553" s="307"/>
      <c r="M553" s="307"/>
    </row>
    <row r="554" spans="2:13">
      <c r="B554" s="505"/>
      <c r="C554" s="307"/>
      <c r="D554" s="307"/>
      <c r="E554" s="307"/>
      <c r="F554" s="307"/>
      <c r="G554" s="307"/>
      <c r="H554" s="307"/>
      <c r="I554" s="307"/>
      <c r="J554" s="307"/>
      <c r="K554" s="307"/>
      <c r="L554" s="307"/>
      <c r="M554" s="307"/>
    </row>
    <row r="555" spans="2:13">
      <c r="B555" s="505"/>
      <c r="C555" s="307"/>
      <c r="D555" s="307"/>
      <c r="E555" s="307"/>
      <c r="F555" s="307"/>
      <c r="G555" s="307"/>
      <c r="H555" s="307"/>
      <c r="I555" s="307"/>
      <c r="J555" s="307"/>
      <c r="K555" s="307"/>
      <c r="L555" s="307"/>
      <c r="M555" s="307"/>
    </row>
    <row r="556" spans="2:13">
      <c r="B556" s="505"/>
      <c r="C556" s="307"/>
      <c r="D556" s="307"/>
      <c r="E556" s="307"/>
      <c r="F556" s="307"/>
      <c r="G556" s="307"/>
      <c r="H556" s="307"/>
      <c r="I556" s="307"/>
      <c r="J556" s="307"/>
      <c r="K556" s="307"/>
      <c r="L556" s="307"/>
      <c r="M556" s="307"/>
    </row>
    <row r="557" spans="2:13">
      <c r="B557" s="505"/>
      <c r="C557" s="307"/>
      <c r="D557" s="307"/>
      <c r="E557" s="307"/>
      <c r="F557" s="307"/>
      <c r="G557" s="307"/>
      <c r="H557" s="307"/>
      <c r="I557" s="307"/>
      <c r="J557" s="307"/>
      <c r="K557" s="307"/>
      <c r="L557" s="307"/>
      <c r="M557" s="307"/>
    </row>
    <row r="558" spans="2:13">
      <c r="B558" s="505"/>
      <c r="C558" s="307"/>
      <c r="D558" s="307"/>
      <c r="E558" s="307"/>
      <c r="F558" s="307"/>
      <c r="G558" s="307"/>
      <c r="H558" s="307"/>
      <c r="I558" s="307"/>
      <c r="J558" s="307"/>
      <c r="K558" s="307"/>
      <c r="L558" s="307"/>
      <c r="M558" s="307"/>
    </row>
    <row r="559" spans="2:13">
      <c r="B559" s="505"/>
      <c r="C559" s="307"/>
      <c r="D559" s="307"/>
      <c r="E559" s="307"/>
      <c r="F559" s="307"/>
      <c r="G559" s="307"/>
      <c r="H559" s="307"/>
      <c r="I559" s="307"/>
      <c r="J559" s="307"/>
      <c r="K559" s="307"/>
      <c r="L559" s="307"/>
      <c r="M559" s="307"/>
    </row>
    <row r="560" spans="2:13">
      <c r="B560" s="505"/>
      <c r="C560" s="307"/>
      <c r="D560" s="307"/>
      <c r="E560" s="307"/>
      <c r="F560" s="307"/>
      <c r="G560" s="307"/>
      <c r="H560" s="307"/>
      <c r="I560" s="307"/>
      <c r="J560" s="307"/>
      <c r="K560" s="307"/>
      <c r="L560" s="307"/>
      <c r="M560" s="307"/>
    </row>
    <row r="561" spans="2:13">
      <c r="B561" s="505"/>
      <c r="C561" s="307"/>
      <c r="D561" s="307"/>
      <c r="E561" s="307"/>
      <c r="F561" s="307"/>
      <c r="G561" s="307"/>
      <c r="H561" s="307"/>
      <c r="I561" s="307"/>
      <c r="J561" s="307"/>
      <c r="K561" s="307"/>
      <c r="L561" s="307"/>
      <c r="M561" s="307"/>
    </row>
    <row r="562" spans="2:13">
      <c r="B562" s="505"/>
      <c r="C562" s="307"/>
      <c r="D562" s="307"/>
      <c r="E562" s="307"/>
      <c r="F562" s="307"/>
      <c r="G562" s="307"/>
      <c r="H562" s="307"/>
      <c r="I562" s="307"/>
      <c r="J562" s="307"/>
      <c r="K562" s="307"/>
      <c r="L562" s="307"/>
      <c r="M562" s="307"/>
    </row>
    <row r="563" spans="2:13">
      <c r="B563" s="505"/>
      <c r="C563" s="307"/>
      <c r="D563" s="307"/>
      <c r="E563" s="307"/>
      <c r="F563" s="307"/>
      <c r="G563" s="307"/>
      <c r="H563" s="307"/>
      <c r="I563" s="307"/>
      <c r="J563" s="307"/>
      <c r="K563" s="307"/>
      <c r="L563" s="307"/>
      <c r="M563" s="307"/>
    </row>
    <row r="564" spans="2:13">
      <c r="B564" s="505"/>
      <c r="C564" s="307"/>
      <c r="D564" s="307"/>
      <c r="E564" s="307"/>
      <c r="F564" s="307"/>
      <c r="G564" s="307"/>
      <c r="H564" s="307"/>
      <c r="I564" s="307"/>
      <c r="J564" s="307"/>
      <c r="K564" s="307"/>
      <c r="L564" s="307"/>
      <c r="M564" s="307"/>
    </row>
    <row r="565" spans="2:13">
      <c r="B565" s="505"/>
      <c r="C565" s="307"/>
      <c r="D565" s="307"/>
      <c r="E565" s="307"/>
      <c r="F565" s="307"/>
      <c r="G565" s="307"/>
      <c r="H565" s="307"/>
      <c r="I565" s="307"/>
      <c r="J565" s="307"/>
      <c r="K565" s="307"/>
      <c r="L565" s="307"/>
      <c r="M565" s="307"/>
    </row>
    <row r="566" spans="2:13">
      <c r="B566" s="505"/>
      <c r="C566" s="307"/>
      <c r="D566" s="307"/>
      <c r="E566" s="307"/>
      <c r="F566" s="307"/>
      <c r="G566" s="307"/>
      <c r="H566" s="307"/>
      <c r="I566" s="307"/>
      <c r="J566" s="307"/>
      <c r="K566" s="307"/>
      <c r="L566" s="307"/>
      <c r="M566" s="307"/>
    </row>
    <row r="567" spans="2:13">
      <c r="B567" s="505"/>
      <c r="C567" s="307"/>
      <c r="D567" s="307"/>
      <c r="E567" s="307"/>
      <c r="F567" s="307"/>
      <c r="G567" s="307"/>
      <c r="H567" s="307"/>
      <c r="I567" s="307"/>
      <c r="J567" s="307"/>
      <c r="K567" s="307"/>
      <c r="L567" s="307"/>
      <c r="M567" s="307"/>
    </row>
    <row r="568" spans="2:13">
      <c r="B568" s="505"/>
      <c r="C568" s="307"/>
      <c r="D568" s="307"/>
      <c r="E568" s="307"/>
      <c r="F568" s="307"/>
      <c r="G568" s="307"/>
      <c r="H568" s="307"/>
      <c r="I568" s="307"/>
      <c r="J568" s="307"/>
      <c r="K568" s="307"/>
      <c r="L568" s="307"/>
      <c r="M568" s="307"/>
    </row>
    <row r="569" spans="2:13">
      <c r="B569" s="505"/>
      <c r="C569" s="307"/>
      <c r="D569" s="307"/>
      <c r="E569" s="307"/>
      <c r="F569" s="307"/>
      <c r="G569" s="307"/>
      <c r="H569" s="307"/>
      <c r="I569" s="307"/>
      <c r="J569" s="307"/>
      <c r="K569" s="307"/>
      <c r="L569" s="307"/>
      <c r="M569" s="307"/>
    </row>
    <row r="570" spans="2:13">
      <c r="B570" s="505"/>
      <c r="C570" s="307"/>
      <c r="D570" s="307"/>
      <c r="E570" s="307"/>
      <c r="F570" s="307"/>
      <c r="G570" s="307"/>
      <c r="H570" s="307"/>
      <c r="I570" s="307"/>
      <c r="J570" s="307"/>
      <c r="K570" s="307"/>
      <c r="L570" s="307"/>
      <c r="M570" s="307"/>
    </row>
    <row r="571" spans="2:13">
      <c r="B571" s="505"/>
      <c r="C571" s="307"/>
      <c r="D571" s="307"/>
      <c r="E571" s="307"/>
      <c r="F571" s="307"/>
      <c r="G571" s="307"/>
      <c r="H571" s="307"/>
      <c r="I571" s="307"/>
      <c r="J571" s="307"/>
      <c r="K571" s="307"/>
      <c r="L571" s="307"/>
      <c r="M571" s="307"/>
    </row>
    <row r="572" spans="2:13">
      <c r="B572" s="505"/>
      <c r="C572" s="307"/>
      <c r="D572" s="307"/>
      <c r="E572" s="307"/>
      <c r="F572" s="307"/>
      <c r="G572" s="307"/>
      <c r="H572" s="307"/>
      <c r="I572" s="307"/>
      <c r="J572" s="307"/>
      <c r="K572" s="307"/>
      <c r="L572" s="307"/>
      <c r="M572" s="307"/>
    </row>
    <row r="573" spans="2:13">
      <c r="B573" s="505"/>
      <c r="C573" s="307"/>
      <c r="D573" s="307"/>
      <c r="E573" s="307"/>
      <c r="F573" s="307"/>
      <c r="G573" s="307"/>
      <c r="H573" s="307"/>
      <c r="I573" s="307"/>
      <c r="J573" s="307"/>
      <c r="K573" s="307"/>
      <c r="L573" s="307"/>
      <c r="M573" s="307"/>
    </row>
    <row r="574" spans="2:13">
      <c r="B574" s="505"/>
      <c r="C574" s="307"/>
      <c r="D574" s="307"/>
      <c r="E574" s="307"/>
      <c r="F574" s="307"/>
      <c r="G574" s="307"/>
      <c r="H574" s="307"/>
      <c r="I574" s="307"/>
      <c r="J574" s="307"/>
      <c r="K574" s="307"/>
      <c r="L574" s="307"/>
      <c r="M574" s="307"/>
    </row>
    <row r="575" spans="2:13">
      <c r="B575" s="505"/>
      <c r="C575" s="307"/>
      <c r="D575" s="307"/>
      <c r="E575" s="307"/>
      <c r="F575" s="307"/>
      <c r="G575" s="307"/>
      <c r="H575" s="307"/>
      <c r="I575" s="307"/>
      <c r="J575" s="307"/>
      <c r="K575" s="307"/>
      <c r="L575" s="307"/>
      <c r="M575" s="307"/>
    </row>
    <row r="576" spans="2:13">
      <c r="B576" s="505"/>
      <c r="C576" s="307"/>
      <c r="D576" s="307"/>
      <c r="E576" s="307"/>
      <c r="F576" s="307"/>
      <c r="G576" s="307"/>
      <c r="H576" s="307"/>
      <c r="I576" s="307"/>
      <c r="J576" s="307"/>
      <c r="K576" s="307"/>
      <c r="L576" s="307"/>
      <c r="M576" s="307"/>
    </row>
    <row r="577" spans="2:13">
      <c r="B577" s="505"/>
      <c r="C577" s="307"/>
      <c r="D577" s="307"/>
      <c r="E577" s="307"/>
      <c r="F577" s="307"/>
      <c r="G577" s="307"/>
      <c r="H577" s="307"/>
      <c r="I577" s="307"/>
      <c r="J577" s="307"/>
      <c r="K577" s="307"/>
      <c r="L577" s="307"/>
      <c r="M577" s="307"/>
    </row>
    <row r="578" spans="2:13">
      <c r="B578" s="505"/>
      <c r="C578" s="307"/>
      <c r="D578" s="307"/>
      <c r="E578" s="307"/>
      <c r="F578" s="307"/>
      <c r="G578" s="307"/>
      <c r="H578" s="307"/>
      <c r="I578" s="307"/>
      <c r="J578" s="307"/>
      <c r="K578" s="307"/>
      <c r="L578" s="307"/>
      <c r="M578" s="307"/>
    </row>
    <row r="579" spans="2:13">
      <c r="B579" s="505"/>
      <c r="C579" s="307"/>
      <c r="D579" s="307"/>
      <c r="E579" s="307"/>
      <c r="F579" s="307"/>
      <c r="G579" s="307"/>
      <c r="H579" s="307"/>
      <c r="I579" s="307"/>
      <c r="J579" s="307"/>
      <c r="K579" s="307"/>
      <c r="L579" s="307"/>
      <c r="M579" s="307"/>
    </row>
    <row r="580" spans="2:13">
      <c r="B580" s="505"/>
      <c r="C580" s="307"/>
      <c r="D580" s="307"/>
      <c r="E580" s="307"/>
      <c r="F580" s="307"/>
      <c r="G580" s="307"/>
      <c r="H580" s="307"/>
      <c r="I580" s="307"/>
      <c r="J580" s="307"/>
      <c r="K580" s="307"/>
      <c r="L580" s="307"/>
      <c r="M580" s="307"/>
    </row>
    <row r="581" spans="2:13">
      <c r="B581" s="505"/>
      <c r="C581" s="307"/>
      <c r="D581" s="307"/>
      <c r="E581" s="307"/>
      <c r="F581" s="307"/>
      <c r="G581" s="307"/>
      <c r="H581" s="307"/>
      <c r="I581" s="307"/>
      <c r="J581" s="307"/>
      <c r="K581" s="307"/>
      <c r="L581" s="307"/>
      <c r="M581" s="307"/>
    </row>
    <row r="582" spans="2:13">
      <c r="B582" s="505"/>
      <c r="C582" s="307"/>
      <c r="D582" s="307"/>
      <c r="E582" s="307"/>
      <c r="F582" s="307"/>
      <c r="G582" s="307"/>
      <c r="H582" s="307"/>
      <c r="I582" s="307"/>
      <c r="J582" s="307"/>
      <c r="K582" s="307"/>
      <c r="L582" s="307"/>
      <c r="M582" s="307"/>
    </row>
    <row r="583" spans="2:13">
      <c r="B583" s="505"/>
      <c r="C583" s="307"/>
      <c r="D583" s="307"/>
      <c r="E583" s="307"/>
      <c r="F583" s="307"/>
      <c r="G583" s="307"/>
      <c r="H583" s="307"/>
      <c r="I583" s="307"/>
      <c r="J583" s="307"/>
      <c r="K583" s="307"/>
      <c r="L583" s="307"/>
      <c r="M583" s="307"/>
    </row>
    <row r="584" spans="2:13">
      <c r="B584" s="505"/>
      <c r="C584" s="307"/>
      <c r="D584" s="307"/>
      <c r="E584" s="307"/>
      <c r="F584" s="307"/>
      <c r="G584" s="307"/>
      <c r="H584" s="307"/>
      <c r="I584" s="307"/>
      <c r="J584" s="307"/>
      <c r="K584" s="307"/>
      <c r="L584" s="307"/>
      <c r="M584" s="307"/>
    </row>
    <row r="585" spans="2:13">
      <c r="B585" s="505"/>
      <c r="C585" s="307"/>
      <c r="D585" s="307"/>
      <c r="E585" s="307"/>
      <c r="F585" s="307"/>
      <c r="G585" s="307"/>
      <c r="H585" s="307"/>
      <c r="I585" s="307"/>
      <c r="J585" s="307"/>
      <c r="K585" s="307"/>
      <c r="L585" s="307"/>
      <c r="M585" s="307"/>
    </row>
    <row r="586" spans="2:13">
      <c r="B586" s="505"/>
      <c r="C586" s="307"/>
      <c r="D586" s="307"/>
      <c r="E586" s="307"/>
      <c r="F586" s="307"/>
      <c r="G586" s="307"/>
      <c r="H586" s="307"/>
      <c r="I586" s="307"/>
      <c r="J586" s="307"/>
      <c r="K586" s="307"/>
      <c r="L586" s="307"/>
      <c r="M586" s="307"/>
    </row>
    <row r="587" spans="2:13">
      <c r="B587" s="505"/>
      <c r="C587" s="307"/>
      <c r="D587" s="307"/>
      <c r="E587" s="307"/>
      <c r="F587" s="307"/>
      <c r="G587" s="307"/>
      <c r="H587" s="307"/>
      <c r="I587" s="307"/>
      <c r="J587" s="307"/>
      <c r="K587" s="307"/>
      <c r="L587" s="307"/>
      <c r="M587" s="307"/>
    </row>
    <row r="588" spans="2:13">
      <c r="B588" s="505"/>
      <c r="C588" s="307"/>
      <c r="D588" s="307"/>
      <c r="E588" s="307"/>
      <c r="F588" s="307"/>
      <c r="G588" s="307"/>
      <c r="H588" s="307"/>
      <c r="I588" s="307"/>
      <c r="J588" s="307"/>
      <c r="K588" s="307"/>
      <c r="L588" s="307"/>
      <c r="M588" s="307"/>
    </row>
    <row r="589" spans="2:13">
      <c r="B589" s="505"/>
      <c r="C589" s="307"/>
      <c r="D589" s="307"/>
      <c r="E589" s="307"/>
      <c r="F589" s="307"/>
      <c r="G589" s="307"/>
      <c r="H589" s="307"/>
      <c r="I589" s="307"/>
      <c r="J589" s="307"/>
      <c r="K589" s="307"/>
      <c r="L589" s="307"/>
      <c r="M589" s="307"/>
    </row>
    <row r="590" spans="2:13">
      <c r="B590" s="505"/>
      <c r="C590" s="307"/>
      <c r="D590" s="307"/>
      <c r="E590" s="307"/>
      <c r="F590" s="307"/>
      <c r="G590" s="307"/>
      <c r="H590" s="307"/>
      <c r="I590" s="307"/>
      <c r="J590" s="307"/>
      <c r="K590" s="307"/>
      <c r="L590" s="307"/>
      <c r="M590" s="307"/>
    </row>
    <row r="591" spans="2:13">
      <c r="B591" s="505"/>
      <c r="C591" s="307"/>
      <c r="D591" s="307"/>
      <c r="E591" s="307"/>
      <c r="F591" s="307"/>
      <c r="G591" s="307"/>
      <c r="H591" s="307"/>
      <c r="I591" s="307"/>
      <c r="J591" s="307"/>
      <c r="K591" s="307"/>
      <c r="L591" s="307"/>
      <c r="M591" s="307"/>
    </row>
    <row r="592" spans="2:13">
      <c r="B592" s="505"/>
      <c r="C592" s="307"/>
      <c r="D592" s="307"/>
      <c r="E592" s="307"/>
      <c r="F592" s="307"/>
      <c r="G592" s="307"/>
      <c r="H592" s="307"/>
      <c r="I592" s="307"/>
      <c r="J592" s="307"/>
      <c r="K592" s="307"/>
      <c r="L592" s="307"/>
      <c r="M592" s="307"/>
    </row>
    <row r="593" spans="2:13">
      <c r="B593" s="505"/>
      <c r="C593" s="307"/>
      <c r="D593" s="307"/>
      <c r="E593" s="307"/>
      <c r="F593" s="307"/>
      <c r="G593" s="307"/>
      <c r="H593" s="307"/>
      <c r="I593" s="307"/>
      <c r="J593" s="307"/>
      <c r="K593" s="307"/>
      <c r="L593" s="307"/>
      <c r="M593" s="307"/>
    </row>
    <row r="594" spans="2:13">
      <c r="B594" s="505"/>
      <c r="C594" s="307"/>
      <c r="D594" s="307"/>
      <c r="E594" s="307"/>
      <c r="F594" s="307"/>
      <c r="G594" s="307"/>
      <c r="H594" s="307"/>
      <c r="I594" s="307"/>
      <c r="J594" s="307"/>
      <c r="K594" s="307"/>
      <c r="L594" s="307"/>
      <c r="M594" s="307"/>
    </row>
    <row r="595" spans="2:13">
      <c r="B595" s="505"/>
      <c r="C595" s="307"/>
      <c r="D595" s="307"/>
      <c r="E595" s="307"/>
      <c r="F595" s="307"/>
      <c r="G595" s="307"/>
      <c r="H595" s="307"/>
      <c r="I595" s="307"/>
      <c r="J595" s="307"/>
      <c r="K595" s="307"/>
      <c r="L595" s="307"/>
      <c r="M595" s="307"/>
    </row>
    <row r="596" spans="2:13">
      <c r="B596" s="505"/>
      <c r="C596" s="307"/>
      <c r="D596" s="307"/>
      <c r="E596" s="307"/>
      <c r="F596" s="307"/>
      <c r="G596" s="307"/>
      <c r="H596" s="307"/>
      <c r="I596" s="307"/>
      <c r="J596" s="307"/>
      <c r="K596" s="307"/>
      <c r="L596" s="307"/>
      <c r="M596" s="307"/>
    </row>
    <row r="597" spans="2:13">
      <c r="B597" s="505"/>
      <c r="C597" s="307"/>
      <c r="D597" s="307"/>
      <c r="E597" s="307"/>
      <c r="F597" s="307"/>
      <c r="G597" s="307"/>
      <c r="H597" s="307"/>
      <c r="I597" s="307"/>
      <c r="J597" s="307"/>
      <c r="K597" s="307"/>
      <c r="L597" s="307"/>
      <c r="M597" s="307"/>
    </row>
    <row r="598" spans="2:13">
      <c r="B598" s="505"/>
      <c r="C598" s="307"/>
      <c r="D598" s="307"/>
      <c r="E598" s="307"/>
      <c r="F598" s="307"/>
      <c r="G598" s="307"/>
      <c r="H598" s="307"/>
      <c r="I598" s="307"/>
      <c r="J598" s="307"/>
      <c r="K598" s="307"/>
      <c r="L598" s="307"/>
      <c r="M598" s="307"/>
    </row>
    <row r="599" spans="2:13">
      <c r="B599" s="505"/>
      <c r="C599" s="307"/>
      <c r="D599" s="307"/>
      <c r="E599" s="307"/>
      <c r="F599" s="307"/>
      <c r="G599" s="307"/>
      <c r="H599" s="307"/>
      <c r="I599" s="307"/>
      <c r="J599" s="307"/>
      <c r="K599" s="307"/>
      <c r="L599" s="307"/>
      <c r="M599" s="307"/>
    </row>
    <row r="600" spans="2:13">
      <c r="B600" s="505"/>
      <c r="C600" s="307"/>
      <c r="D600" s="307"/>
      <c r="E600" s="307"/>
      <c r="F600" s="307"/>
      <c r="G600" s="307"/>
      <c r="H600" s="307"/>
      <c r="I600" s="307"/>
      <c r="J600" s="307"/>
      <c r="K600" s="307"/>
      <c r="L600" s="307"/>
      <c r="M600" s="307"/>
    </row>
    <row r="601" spans="2:13">
      <c r="B601" s="505"/>
      <c r="C601" s="307"/>
      <c r="D601" s="307"/>
      <c r="E601" s="307"/>
      <c r="F601" s="307"/>
      <c r="G601" s="307"/>
      <c r="H601" s="307"/>
      <c r="I601" s="307"/>
      <c r="J601" s="307"/>
      <c r="K601" s="307"/>
      <c r="L601" s="307"/>
      <c r="M601" s="307"/>
    </row>
    <row r="602" spans="2:13">
      <c r="B602" s="505"/>
      <c r="C602" s="307"/>
      <c r="D602" s="307"/>
      <c r="E602" s="307"/>
      <c r="F602" s="307"/>
      <c r="G602" s="307"/>
      <c r="H602" s="307"/>
      <c r="I602" s="307"/>
      <c r="J602" s="307"/>
      <c r="K602" s="307"/>
      <c r="L602" s="307"/>
      <c r="M602" s="307"/>
    </row>
    <row r="603" spans="2:13">
      <c r="B603" s="505"/>
      <c r="C603" s="307"/>
      <c r="D603" s="307"/>
      <c r="E603" s="307"/>
      <c r="F603" s="307"/>
      <c r="G603" s="307"/>
      <c r="H603" s="307"/>
      <c r="I603" s="307"/>
      <c r="J603" s="307"/>
      <c r="K603" s="307"/>
      <c r="L603" s="307"/>
      <c r="M603" s="307"/>
    </row>
    <row r="604" spans="2:13">
      <c r="B604" s="505"/>
      <c r="C604" s="307"/>
      <c r="D604" s="307"/>
      <c r="E604" s="307"/>
      <c r="F604" s="307"/>
      <c r="G604" s="307"/>
      <c r="H604" s="307"/>
      <c r="I604" s="307"/>
      <c r="J604" s="307"/>
      <c r="K604" s="307"/>
      <c r="L604" s="307"/>
      <c r="M604" s="307"/>
    </row>
    <row r="605" spans="2:13">
      <c r="B605" s="505"/>
      <c r="C605" s="307"/>
      <c r="D605" s="307"/>
      <c r="E605" s="307"/>
      <c r="F605" s="307"/>
      <c r="G605" s="307"/>
      <c r="H605" s="307"/>
      <c r="I605" s="307"/>
      <c r="J605" s="307"/>
      <c r="K605" s="307"/>
      <c r="L605" s="307"/>
      <c r="M605" s="307"/>
    </row>
    <row r="606" spans="2:13">
      <c r="B606" s="505"/>
      <c r="C606" s="307"/>
      <c r="D606" s="307"/>
      <c r="E606" s="307"/>
      <c r="F606" s="307"/>
      <c r="G606" s="307"/>
      <c r="H606" s="307"/>
      <c r="I606" s="307"/>
      <c r="J606" s="307"/>
      <c r="K606" s="307"/>
      <c r="L606" s="307"/>
      <c r="M606" s="307"/>
    </row>
    <row r="607" spans="2:13">
      <c r="B607" s="505"/>
      <c r="C607" s="307"/>
      <c r="D607" s="307"/>
      <c r="E607" s="307"/>
      <c r="F607" s="307"/>
      <c r="G607" s="307"/>
      <c r="H607" s="307"/>
      <c r="I607" s="307"/>
      <c r="J607" s="307"/>
      <c r="K607" s="307"/>
      <c r="L607" s="307"/>
      <c r="M607" s="307"/>
    </row>
    <row r="608" spans="2:13">
      <c r="B608" s="505"/>
      <c r="C608" s="307"/>
      <c r="D608" s="307"/>
      <c r="E608" s="307"/>
      <c r="F608" s="307"/>
      <c r="G608" s="307"/>
      <c r="H608" s="307"/>
      <c r="I608" s="307"/>
      <c r="J608" s="307"/>
      <c r="K608" s="307"/>
      <c r="L608" s="307"/>
      <c r="M608" s="307"/>
    </row>
    <row r="609" spans="2:13">
      <c r="B609" s="505"/>
      <c r="C609" s="307"/>
      <c r="D609" s="307"/>
      <c r="E609" s="307"/>
      <c r="F609" s="307"/>
      <c r="G609" s="307"/>
      <c r="H609" s="307"/>
      <c r="I609" s="307"/>
      <c r="J609" s="307"/>
      <c r="K609" s="307"/>
      <c r="L609" s="307"/>
      <c r="M609" s="307"/>
    </row>
    <row r="610" spans="2:13">
      <c r="B610" s="505"/>
      <c r="C610" s="307"/>
      <c r="D610" s="307"/>
      <c r="E610" s="307"/>
      <c r="F610" s="307"/>
      <c r="G610" s="307"/>
      <c r="H610" s="307"/>
      <c r="I610" s="307"/>
      <c r="J610" s="307"/>
      <c r="K610" s="307"/>
      <c r="L610" s="307"/>
      <c r="M610" s="307"/>
    </row>
    <row r="611" spans="2:13">
      <c r="B611" s="505"/>
      <c r="C611" s="307"/>
      <c r="D611" s="307"/>
      <c r="E611" s="307"/>
      <c r="F611" s="307"/>
      <c r="G611" s="307"/>
      <c r="H611" s="307"/>
      <c r="I611" s="307"/>
      <c r="J611" s="307"/>
      <c r="K611" s="307"/>
      <c r="L611" s="307"/>
      <c r="M611" s="307"/>
    </row>
    <row r="612" spans="2:13">
      <c r="B612" s="505"/>
      <c r="C612" s="307"/>
      <c r="D612" s="307"/>
      <c r="E612" s="307"/>
      <c r="F612" s="307"/>
      <c r="G612" s="307"/>
      <c r="H612" s="307"/>
      <c r="I612" s="307"/>
      <c r="J612" s="307"/>
      <c r="K612" s="307"/>
      <c r="L612" s="307"/>
      <c r="M612" s="307"/>
    </row>
    <row r="613" spans="2:13">
      <c r="B613" s="505"/>
      <c r="C613" s="307"/>
      <c r="D613" s="307"/>
      <c r="E613" s="307"/>
      <c r="F613" s="307"/>
      <c r="G613" s="307"/>
      <c r="H613" s="307"/>
      <c r="I613" s="307"/>
      <c r="J613" s="307"/>
      <c r="K613" s="307"/>
      <c r="L613" s="307"/>
      <c r="M613" s="307"/>
    </row>
    <row r="614" spans="2:13">
      <c r="B614" s="505"/>
      <c r="C614" s="307"/>
      <c r="D614" s="307"/>
      <c r="E614" s="307"/>
      <c r="F614" s="307"/>
      <c r="G614" s="307"/>
      <c r="H614" s="307"/>
      <c r="I614" s="307"/>
      <c r="J614" s="307"/>
      <c r="K614" s="307"/>
      <c r="L614" s="307"/>
      <c r="M614" s="307"/>
    </row>
    <row r="615" spans="2:13">
      <c r="B615" s="505"/>
      <c r="C615" s="307"/>
      <c r="D615" s="307"/>
      <c r="E615" s="307"/>
      <c r="F615" s="307"/>
      <c r="G615" s="307"/>
      <c r="H615" s="307"/>
      <c r="I615" s="307"/>
      <c r="J615" s="307"/>
      <c r="K615" s="307"/>
      <c r="L615" s="307"/>
      <c r="M615" s="307"/>
    </row>
    <row r="616" spans="2:13">
      <c r="B616" s="505"/>
      <c r="C616" s="307"/>
      <c r="D616" s="307"/>
      <c r="E616" s="307"/>
      <c r="F616" s="307"/>
      <c r="G616" s="307"/>
      <c r="H616" s="307"/>
      <c r="I616" s="307"/>
      <c r="J616" s="307"/>
      <c r="K616" s="307"/>
      <c r="L616" s="307"/>
      <c r="M616" s="307"/>
    </row>
    <row r="617" spans="2:13">
      <c r="B617" s="505"/>
      <c r="C617" s="307"/>
      <c r="D617" s="307"/>
      <c r="E617" s="307"/>
      <c r="F617" s="307"/>
      <c r="G617" s="307"/>
      <c r="H617" s="307"/>
      <c r="I617" s="307"/>
      <c r="J617" s="307"/>
      <c r="K617" s="307"/>
      <c r="L617" s="307"/>
      <c r="M617" s="307"/>
    </row>
    <row r="618" spans="2:13">
      <c r="B618" s="505"/>
      <c r="C618" s="307"/>
      <c r="D618" s="307"/>
      <c r="E618" s="307"/>
      <c r="F618" s="307"/>
      <c r="G618" s="307"/>
      <c r="H618" s="307"/>
      <c r="I618" s="307"/>
      <c r="J618" s="307"/>
      <c r="K618" s="307"/>
      <c r="L618" s="307"/>
      <c r="M618" s="307"/>
    </row>
    <row r="619" spans="2:13">
      <c r="B619" s="505"/>
      <c r="C619" s="307"/>
      <c r="D619" s="307"/>
      <c r="E619" s="307"/>
      <c r="F619" s="307"/>
      <c r="G619" s="307"/>
      <c r="H619" s="307"/>
      <c r="I619" s="307"/>
      <c r="J619" s="307"/>
      <c r="K619" s="307"/>
      <c r="L619" s="307"/>
      <c r="M619" s="307"/>
    </row>
    <row r="620" spans="2:13">
      <c r="B620" s="505"/>
      <c r="C620" s="307"/>
      <c r="D620" s="307"/>
      <c r="E620" s="307"/>
      <c r="F620" s="307"/>
      <c r="G620" s="307"/>
      <c r="H620" s="307"/>
      <c r="I620" s="307"/>
      <c r="J620" s="307"/>
      <c r="K620" s="307"/>
      <c r="L620" s="307"/>
      <c r="M620" s="307"/>
    </row>
    <row r="621" spans="2:13">
      <c r="B621" s="505"/>
      <c r="C621" s="307"/>
      <c r="D621" s="307"/>
      <c r="E621" s="307"/>
      <c r="F621" s="307"/>
      <c r="G621" s="307"/>
      <c r="H621" s="307"/>
      <c r="I621" s="307"/>
      <c r="J621" s="307"/>
      <c r="K621" s="307"/>
      <c r="L621" s="307"/>
      <c r="M621" s="307"/>
    </row>
    <row r="622" spans="2:13">
      <c r="B622" s="505"/>
      <c r="C622" s="307"/>
      <c r="D622" s="307"/>
      <c r="E622" s="307"/>
      <c r="F622" s="307"/>
      <c r="G622" s="307"/>
      <c r="H622" s="307"/>
      <c r="I622" s="307"/>
      <c r="J622" s="307"/>
      <c r="K622" s="307"/>
      <c r="L622" s="307"/>
      <c r="M622" s="307"/>
    </row>
    <row r="623" spans="2:13">
      <c r="B623" s="505"/>
      <c r="C623" s="307"/>
      <c r="D623" s="307"/>
      <c r="E623" s="307"/>
      <c r="F623" s="307"/>
      <c r="G623" s="307"/>
      <c r="H623" s="307"/>
      <c r="I623" s="307"/>
      <c r="J623" s="307"/>
      <c r="K623" s="307"/>
      <c r="L623" s="307"/>
      <c r="M623" s="307"/>
    </row>
    <row r="624" spans="2:13">
      <c r="B624" s="505"/>
      <c r="C624" s="307"/>
      <c r="D624" s="307"/>
      <c r="E624" s="307"/>
      <c r="F624" s="307"/>
      <c r="G624" s="307"/>
      <c r="H624" s="307"/>
      <c r="I624" s="307"/>
      <c r="J624" s="307"/>
      <c r="K624" s="307"/>
      <c r="L624" s="307"/>
      <c r="M624" s="307"/>
    </row>
    <row r="625" spans="2:13">
      <c r="B625" s="505"/>
      <c r="C625" s="307"/>
      <c r="D625" s="307"/>
      <c r="E625" s="307"/>
      <c r="F625" s="307"/>
      <c r="G625" s="307"/>
      <c r="H625" s="307"/>
      <c r="I625" s="307"/>
      <c r="J625" s="307"/>
      <c r="K625" s="307"/>
      <c r="L625" s="307"/>
      <c r="M625" s="307"/>
    </row>
    <row r="626" spans="2:13">
      <c r="B626" s="505"/>
      <c r="C626" s="307"/>
      <c r="D626" s="307"/>
      <c r="E626" s="307"/>
      <c r="F626" s="307"/>
      <c r="G626" s="307"/>
      <c r="H626" s="307"/>
      <c r="I626" s="307"/>
      <c r="J626" s="307"/>
      <c r="K626" s="307"/>
      <c r="L626" s="307"/>
      <c r="M626" s="307"/>
    </row>
    <row r="627" spans="2:13">
      <c r="B627" s="505"/>
      <c r="C627" s="307"/>
      <c r="D627" s="307"/>
      <c r="E627" s="307"/>
      <c r="F627" s="307"/>
      <c r="G627" s="307"/>
      <c r="H627" s="307"/>
      <c r="I627" s="307"/>
      <c r="J627" s="307"/>
      <c r="K627" s="307"/>
      <c r="L627" s="307"/>
      <c r="M627" s="307"/>
    </row>
    <row r="628" spans="2:13">
      <c r="B628" s="505"/>
      <c r="C628" s="307"/>
      <c r="D628" s="307"/>
      <c r="E628" s="307"/>
      <c r="F628" s="307"/>
      <c r="G628" s="307"/>
      <c r="H628" s="307"/>
      <c r="I628" s="307"/>
      <c r="J628" s="307"/>
      <c r="K628" s="307"/>
      <c r="L628" s="307"/>
      <c r="M628" s="307"/>
    </row>
    <row r="629" spans="2:13">
      <c r="B629" s="505"/>
      <c r="C629" s="307"/>
      <c r="D629" s="307"/>
      <c r="E629" s="307"/>
      <c r="F629" s="307"/>
      <c r="G629" s="307"/>
      <c r="H629" s="307"/>
      <c r="I629" s="307"/>
      <c r="J629" s="307"/>
      <c r="K629" s="307"/>
      <c r="L629" s="307"/>
      <c r="M629" s="307"/>
    </row>
    <row r="630" spans="2:13">
      <c r="B630" s="505"/>
      <c r="C630" s="307"/>
      <c r="D630" s="307"/>
      <c r="E630" s="307"/>
      <c r="F630" s="307"/>
      <c r="G630" s="307"/>
      <c r="H630" s="307"/>
      <c r="I630" s="307"/>
      <c r="J630" s="307"/>
      <c r="K630" s="307"/>
      <c r="L630" s="307"/>
      <c r="M630" s="307"/>
    </row>
    <row r="631" spans="2:13">
      <c r="B631" s="505"/>
      <c r="C631" s="307"/>
      <c r="D631" s="307"/>
      <c r="E631" s="307"/>
      <c r="F631" s="307"/>
      <c r="G631" s="307"/>
      <c r="H631" s="307"/>
      <c r="I631" s="307"/>
      <c r="J631" s="307"/>
      <c r="K631" s="307"/>
      <c r="L631" s="307"/>
      <c r="M631" s="307"/>
    </row>
    <row r="632" spans="2:13">
      <c r="B632" s="505"/>
      <c r="C632" s="307"/>
      <c r="D632" s="307"/>
      <c r="E632" s="307"/>
      <c r="F632" s="307"/>
      <c r="G632" s="307"/>
      <c r="H632" s="307"/>
      <c r="I632" s="307"/>
      <c r="J632" s="307"/>
      <c r="K632" s="307"/>
      <c r="L632" s="307"/>
      <c r="M632" s="307"/>
    </row>
    <row r="633" spans="2:13">
      <c r="B633" s="505"/>
      <c r="C633" s="307"/>
      <c r="D633" s="307"/>
      <c r="E633" s="307"/>
      <c r="F633" s="307"/>
      <c r="G633" s="307"/>
      <c r="H633" s="307"/>
      <c r="I633" s="307"/>
      <c r="J633" s="307"/>
      <c r="K633" s="307"/>
      <c r="L633" s="307"/>
      <c r="M633" s="307"/>
    </row>
    <row r="634" spans="2:13">
      <c r="B634" s="505"/>
      <c r="C634" s="307"/>
      <c r="D634" s="307"/>
      <c r="E634" s="307"/>
      <c r="F634" s="307"/>
      <c r="G634" s="307"/>
      <c r="H634" s="307"/>
      <c r="I634" s="307"/>
      <c r="J634" s="307"/>
      <c r="K634" s="307"/>
      <c r="L634" s="307"/>
      <c r="M634" s="307"/>
    </row>
    <row r="635" spans="2:13">
      <c r="B635" s="505"/>
      <c r="C635" s="307"/>
      <c r="D635" s="307"/>
      <c r="E635" s="307"/>
      <c r="F635" s="307"/>
      <c r="G635" s="307"/>
      <c r="H635" s="307"/>
      <c r="I635" s="307"/>
      <c r="J635" s="307"/>
      <c r="K635" s="307"/>
      <c r="L635" s="307"/>
      <c r="M635" s="307"/>
    </row>
    <row r="636" spans="2:13">
      <c r="B636" s="505"/>
      <c r="C636" s="307"/>
      <c r="D636" s="307"/>
      <c r="E636" s="307"/>
      <c r="F636" s="307"/>
      <c r="G636" s="307"/>
      <c r="H636" s="307"/>
      <c r="I636" s="307"/>
      <c r="J636" s="307"/>
      <c r="K636" s="307"/>
      <c r="L636" s="307"/>
      <c r="M636" s="307"/>
    </row>
    <row r="637" spans="2:13">
      <c r="B637" s="505"/>
      <c r="C637" s="307"/>
      <c r="D637" s="307"/>
      <c r="E637" s="307"/>
      <c r="F637" s="307"/>
      <c r="G637" s="307"/>
      <c r="H637" s="307"/>
      <c r="I637" s="307"/>
      <c r="J637" s="307"/>
      <c r="K637" s="307"/>
      <c r="L637" s="307"/>
      <c r="M637" s="307"/>
    </row>
    <row r="638" spans="2:13">
      <c r="B638" s="505"/>
      <c r="C638" s="307"/>
      <c r="D638" s="307"/>
      <c r="E638" s="307"/>
      <c r="F638" s="307"/>
      <c r="G638" s="307"/>
      <c r="H638" s="307"/>
      <c r="I638" s="307"/>
      <c r="J638" s="307"/>
      <c r="K638" s="307"/>
      <c r="L638" s="307"/>
      <c r="M638" s="307"/>
    </row>
    <row r="639" spans="2:13">
      <c r="B639" s="505"/>
      <c r="C639" s="307"/>
      <c r="D639" s="307"/>
      <c r="E639" s="307"/>
      <c r="F639" s="307"/>
      <c r="G639" s="307"/>
      <c r="H639" s="307"/>
      <c r="I639" s="307"/>
      <c r="J639" s="307"/>
      <c r="K639" s="307"/>
      <c r="L639" s="307"/>
      <c r="M639" s="307"/>
    </row>
    <row r="640" spans="2:13">
      <c r="B640" s="505"/>
      <c r="C640" s="307"/>
      <c r="D640" s="307"/>
      <c r="E640" s="307"/>
      <c r="F640" s="307"/>
      <c r="G640" s="307"/>
      <c r="H640" s="307"/>
      <c r="I640" s="307"/>
      <c r="J640" s="307"/>
      <c r="K640" s="307"/>
      <c r="L640" s="307"/>
      <c r="M640" s="307"/>
    </row>
    <row r="641" spans="2:13">
      <c r="B641" s="505"/>
      <c r="C641" s="307"/>
      <c r="D641" s="307"/>
      <c r="E641" s="307"/>
      <c r="F641" s="307"/>
      <c r="G641" s="307"/>
      <c r="H641" s="307"/>
      <c r="I641" s="307"/>
      <c r="J641" s="307"/>
      <c r="K641" s="307"/>
      <c r="L641" s="307"/>
      <c r="M641" s="307"/>
    </row>
    <row r="642" spans="2:13">
      <c r="B642" s="505"/>
      <c r="C642" s="307"/>
      <c r="D642" s="307"/>
      <c r="E642" s="307"/>
      <c r="F642" s="307"/>
      <c r="G642" s="307"/>
      <c r="H642" s="307"/>
      <c r="I642" s="307"/>
      <c r="J642" s="307"/>
      <c r="K642" s="307"/>
      <c r="L642" s="307"/>
      <c r="M642" s="307"/>
    </row>
    <row r="643" spans="2:13">
      <c r="B643" s="505"/>
      <c r="C643" s="307"/>
      <c r="D643" s="307"/>
      <c r="E643" s="307"/>
      <c r="F643" s="307"/>
      <c r="G643" s="307"/>
      <c r="H643" s="307"/>
      <c r="I643" s="307"/>
      <c r="J643" s="307"/>
      <c r="K643" s="307"/>
      <c r="L643" s="307"/>
      <c r="M643" s="307"/>
    </row>
    <row r="644" spans="2:13">
      <c r="B644" s="505"/>
      <c r="C644" s="307"/>
      <c r="D644" s="307"/>
      <c r="E644" s="307"/>
      <c r="F644" s="307"/>
      <c r="G644" s="307"/>
      <c r="H644" s="307"/>
      <c r="I644" s="307"/>
      <c r="J644" s="307"/>
      <c r="K644" s="307"/>
      <c r="L644" s="307"/>
      <c r="M644" s="307"/>
    </row>
    <row r="645" spans="2:13">
      <c r="B645" s="505"/>
      <c r="C645" s="307"/>
      <c r="D645" s="307"/>
      <c r="E645" s="307"/>
      <c r="F645" s="307"/>
      <c r="G645" s="307"/>
      <c r="H645" s="307"/>
      <c r="I645" s="307"/>
      <c r="J645" s="307"/>
      <c r="K645" s="307"/>
      <c r="L645" s="307"/>
      <c r="M645" s="307"/>
    </row>
    <row r="646" spans="2:13">
      <c r="B646" s="505"/>
      <c r="C646" s="307"/>
      <c r="D646" s="307"/>
      <c r="E646" s="307"/>
      <c r="F646" s="307"/>
      <c r="G646" s="307"/>
      <c r="H646" s="307"/>
      <c r="I646" s="307"/>
      <c r="J646" s="307"/>
      <c r="K646" s="307"/>
      <c r="L646" s="307"/>
      <c r="M646" s="307"/>
    </row>
    <row r="647" spans="2:13">
      <c r="B647" s="505"/>
      <c r="C647" s="307"/>
      <c r="D647" s="307"/>
      <c r="E647" s="307"/>
      <c r="F647" s="307"/>
      <c r="G647" s="307"/>
      <c r="H647" s="307"/>
      <c r="I647" s="307"/>
      <c r="J647" s="307"/>
      <c r="K647" s="307"/>
      <c r="L647" s="307"/>
      <c r="M647" s="307"/>
    </row>
    <row r="648" spans="2:13">
      <c r="B648" s="505"/>
      <c r="C648" s="307"/>
      <c r="D648" s="307"/>
      <c r="E648" s="307"/>
      <c r="F648" s="307"/>
      <c r="G648" s="307"/>
      <c r="H648" s="307"/>
      <c r="I648" s="307"/>
      <c r="J648" s="307"/>
      <c r="K648" s="307"/>
      <c r="L648" s="307"/>
      <c r="M648" s="307"/>
    </row>
    <row r="649" spans="2:13">
      <c r="B649" s="505"/>
      <c r="C649" s="307"/>
      <c r="D649" s="307"/>
      <c r="E649" s="307"/>
      <c r="F649" s="307"/>
      <c r="G649" s="307"/>
      <c r="H649" s="307"/>
      <c r="I649" s="307"/>
      <c r="J649" s="307"/>
      <c r="K649" s="307"/>
      <c r="L649" s="307"/>
      <c r="M649" s="307"/>
    </row>
    <row r="650" spans="2:13">
      <c r="B650" s="505"/>
      <c r="C650" s="307"/>
      <c r="D650" s="307"/>
      <c r="E650" s="307"/>
      <c r="F650" s="307"/>
      <c r="G650" s="307"/>
      <c r="H650" s="307"/>
      <c r="I650" s="307"/>
      <c r="J650" s="307"/>
      <c r="K650" s="307"/>
      <c r="L650" s="307"/>
      <c r="M650" s="307"/>
    </row>
    <row r="651" spans="2:13">
      <c r="B651" s="505"/>
      <c r="C651" s="307"/>
      <c r="D651" s="307"/>
      <c r="E651" s="307"/>
      <c r="F651" s="307"/>
      <c r="G651" s="307"/>
      <c r="H651" s="307"/>
      <c r="I651" s="307"/>
      <c r="J651" s="307"/>
      <c r="K651" s="307"/>
      <c r="L651" s="307"/>
      <c r="M651" s="307"/>
    </row>
    <row r="652" spans="2:13">
      <c r="B652" s="505"/>
      <c r="C652" s="307"/>
      <c r="D652" s="307"/>
      <c r="E652" s="307"/>
      <c r="F652" s="307"/>
      <c r="G652" s="307"/>
      <c r="H652" s="307"/>
      <c r="I652" s="307"/>
      <c r="J652" s="307"/>
      <c r="K652" s="307"/>
      <c r="L652" s="307"/>
      <c r="M652" s="307"/>
    </row>
    <row r="653" spans="2:13">
      <c r="B653" s="505"/>
      <c r="C653" s="307"/>
      <c r="D653" s="307"/>
      <c r="E653" s="307"/>
      <c r="F653" s="307"/>
      <c r="G653" s="307"/>
      <c r="H653" s="307"/>
      <c r="I653" s="307"/>
      <c r="J653" s="307"/>
      <c r="K653" s="307"/>
      <c r="L653" s="307"/>
      <c r="M653" s="307"/>
    </row>
    <row r="654" spans="2:13">
      <c r="B654" s="505"/>
      <c r="C654" s="307"/>
      <c r="D654" s="307"/>
      <c r="E654" s="307"/>
      <c r="F654" s="307"/>
      <c r="G654" s="307"/>
      <c r="H654" s="307"/>
      <c r="I654" s="307"/>
      <c r="J654" s="307"/>
      <c r="K654" s="307"/>
      <c r="L654" s="307"/>
      <c r="M654" s="307"/>
    </row>
    <row r="655" spans="2:13">
      <c r="B655" s="505"/>
      <c r="C655" s="307"/>
      <c r="D655" s="307"/>
      <c r="E655" s="307"/>
      <c r="F655" s="307"/>
      <c r="G655" s="307"/>
      <c r="H655" s="307"/>
      <c r="I655" s="307"/>
      <c r="J655" s="307"/>
      <c r="K655" s="307"/>
      <c r="L655" s="307"/>
      <c r="M655" s="307"/>
    </row>
    <row r="656" spans="2:13">
      <c r="B656" s="505"/>
      <c r="C656" s="307"/>
      <c r="D656" s="307"/>
      <c r="E656" s="307"/>
      <c r="F656" s="307"/>
      <c r="G656" s="307"/>
      <c r="H656" s="307"/>
      <c r="I656" s="307"/>
      <c r="J656" s="307"/>
      <c r="K656" s="307"/>
      <c r="L656" s="307"/>
      <c r="M656" s="307"/>
    </row>
    <row r="657" spans="2:13">
      <c r="B657" s="505"/>
      <c r="C657" s="307"/>
      <c r="D657" s="307"/>
      <c r="E657" s="307"/>
      <c r="F657" s="307"/>
      <c r="G657" s="307"/>
      <c r="H657" s="307"/>
      <c r="I657" s="307"/>
      <c r="J657" s="307"/>
      <c r="K657" s="307"/>
      <c r="L657" s="307"/>
      <c r="M657" s="307"/>
    </row>
    <row r="658" spans="2:13">
      <c r="B658" s="505"/>
      <c r="C658" s="307"/>
      <c r="D658" s="307"/>
      <c r="E658" s="307"/>
      <c r="F658" s="307"/>
      <c r="G658" s="307"/>
      <c r="H658" s="307"/>
      <c r="I658" s="307"/>
      <c r="J658" s="307"/>
      <c r="K658" s="307"/>
      <c r="L658" s="307"/>
      <c r="M658" s="307"/>
    </row>
    <row r="659" spans="2:13">
      <c r="B659" s="505"/>
      <c r="C659" s="307"/>
      <c r="D659" s="307"/>
      <c r="E659" s="307"/>
      <c r="F659" s="307"/>
      <c r="G659" s="307"/>
      <c r="H659" s="307"/>
      <c r="I659" s="307"/>
      <c r="J659" s="307"/>
      <c r="K659" s="307"/>
      <c r="L659" s="307"/>
      <c r="M659" s="307"/>
    </row>
    <row r="660" spans="2:13">
      <c r="B660" s="505"/>
      <c r="C660" s="307"/>
      <c r="D660" s="307"/>
      <c r="E660" s="307"/>
      <c r="F660" s="307"/>
      <c r="G660" s="307"/>
      <c r="H660" s="307"/>
      <c r="I660" s="307"/>
      <c r="J660" s="307"/>
      <c r="K660" s="307"/>
      <c r="L660" s="307"/>
      <c r="M660" s="307"/>
    </row>
    <row r="661" spans="2:13">
      <c r="B661" s="505"/>
      <c r="C661" s="307"/>
      <c r="D661" s="307"/>
      <c r="E661" s="307"/>
      <c r="F661" s="307"/>
      <c r="G661" s="307"/>
      <c r="H661" s="307"/>
      <c r="I661" s="307"/>
      <c r="J661" s="307"/>
      <c r="K661" s="307"/>
      <c r="L661" s="307"/>
      <c r="M661" s="307"/>
    </row>
    <row r="662" spans="2:13">
      <c r="B662" s="505"/>
      <c r="C662" s="307"/>
      <c r="D662" s="307"/>
      <c r="E662" s="307"/>
      <c r="F662" s="307"/>
      <c r="G662" s="307"/>
      <c r="H662" s="307"/>
      <c r="I662" s="307"/>
      <c r="J662" s="307"/>
      <c r="K662" s="307"/>
      <c r="L662" s="307"/>
      <c r="M662" s="307"/>
    </row>
    <row r="663" spans="2:13">
      <c r="B663" s="505"/>
      <c r="C663" s="307"/>
      <c r="D663" s="307"/>
      <c r="E663" s="307"/>
      <c r="F663" s="307"/>
      <c r="G663" s="307"/>
      <c r="H663" s="307"/>
      <c r="I663" s="307"/>
      <c r="J663" s="307"/>
      <c r="K663" s="307"/>
      <c r="L663" s="307"/>
      <c r="M663" s="307"/>
    </row>
    <row r="664" spans="2:13">
      <c r="B664" s="505"/>
      <c r="C664" s="307"/>
      <c r="D664" s="307"/>
      <c r="E664" s="307"/>
      <c r="F664" s="307"/>
      <c r="G664" s="307"/>
      <c r="H664" s="307"/>
      <c r="I664" s="307"/>
      <c r="J664" s="307"/>
      <c r="K664" s="307"/>
      <c r="L664" s="307"/>
      <c r="M664" s="307"/>
    </row>
    <row r="665" spans="2:13">
      <c r="B665" s="505"/>
      <c r="C665" s="307"/>
      <c r="D665" s="307"/>
      <c r="E665" s="307"/>
      <c r="F665" s="307"/>
      <c r="G665" s="307"/>
      <c r="H665" s="307"/>
      <c r="I665" s="307"/>
      <c r="J665" s="307"/>
      <c r="K665" s="307"/>
      <c r="L665" s="307"/>
      <c r="M665" s="307"/>
    </row>
    <row r="666" spans="2:13">
      <c r="B666" s="505"/>
      <c r="C666" s="307"/>
      <c r="D666" s="307"/>
      <c r="E666" s="307"/>
      <c r="F666" s="307"/>
      <c r="G666" s="307"/>
      <c r="H666" s="307"/>
      <c r="I666" s="307"/>
      <c r="J666" s="307"/>
      <c r="K666" s="307"/>
      <c r="L666" s="307"/>
      <c r="M666" s="307"/>
    </row>
    <row r="667" spans="2:13">
      <c r="B667" s="505"/>
      <c r="C667" s="307"/>
      <c r="D667" s="307"/>
      <c r="E667" s="307"/>
      <c r="F667" s="307"/>
      <c r="G667" s="307"/>
      <c r="H667" s="307"/>
      <c r="I667" s="307"/>
      <c r="J667" s="307"/>
      <c r="K667" s="307"/>
      <c r="L667" s="307"/>
      <c r="M667" s="307"/>
    </row>
    <row r="668" spans="2:13">
      <c r="B668" s="505"/>
      <c r="C668" s="307"/>
      <c r="D668" s="307"/>
      <c r="E668" s="307"/>
      <c r="F668" s="307"/>
      <c r="G668" s="307"/>
      <c r="H668" s="307"/>
      <c r="I668" s="307"/>
      <c r="J668" s="307"/>
      <c r="K668" s="307"/>
      <c r="L668" s="307"/>
      <c r="M668" s="307"/>
    </row>
    <row r="669" spans="2:13">
      <c r="B669" s="505"/>
      <c r="C669" s="307"/>
      <c r="D669" s="307"/>
      <c r="E669" s="307"/>
      <c r="F669" s="307"/>
      <c r="G669" s="307"/>
      <c r="H669" s="307"/>
      <c r="I669" s="307"/>
      <c r="J669" s="307"/>
      <c r="K669" s="307"/>
      <c r="L669" s="307"/>
      <c r="M669" s="307"/>
    </row>
    <row r="670" spans="2:13">
      <c r="B670" s="505"/>
      <c r="C670" s="307"/>
      <c r="D670" s="307"/>
      <c r="E670" s="307"/>
      <c r="F670" s="307"/>
      <c r="G670" s="307"/>
      <c r="H670" s="307"/>
      <c r="I670" s="307"/>
      <c r="J670" s="307"/>
      <c r="K670" s="307"/>
      <c r="L670" s="307"/>
      <c r="M670" s="307"/>
    </row>
    <row r="671" spans="2:13">
      <c r="B671" s="505"/>
      <c r="C671" s="307"/>
      <c r="D671" s="307"/>
      <c r="E671" s="307"/>
      <c r="F671" s="307"/>
      <c r="G671" s="307"/>
      <c r="H671" s="307"/>
      <c r="I671" s="307"/>
      <c r="J671" s="307"/>
      <c r="K671" s="307"/>
      <c r="L671" s="307"/>
      <c r="M671" s="307"/>
    </row>
    <row r="672" spans="2:13">
      <c r="B672" s="505"/>
      <c r="C672" s="307"/>
      <c r="D672" s="307"/>
      <c r="E672" s="307"/>
      <c r="F672" s="307"/>
      <c r="G672" s="307"/>
      <c r="H672" s="307"/>
      <c r="I672" s="307"/>
      <c r="J672" s="307"/>
      <c r="K672" s="307"/>
      <c r="L672" s="307"/>
      <c r="M672" s="307"/>
    </row>
    <row r="673" spans="2:13">
      <c r="B673" s="505"/>
      <c r="C673" s="307"/>
      <c r="D673" s="307"/>
      <c r="E673" s="307"/>
      <c r="F673" s="307"/>
      <c r="G673" s="307"/>
      <c r="H673" s="307"/>
      <c r="I673" s="307"/>
      <c r="J673" s="307"/>
      <c r="K673" s="307"/>
      <c r="L673" s="307"/>
      <c r="M673" s="307"/>
    </row>
    <row r="674" spans="2:13">
      <c r="B674" s="505"/>
      <c r="C674" s="307"/>
      <c r="D674" s="307"/>
      <c r="E674" s="307"/>
      <c r="F674" s="307"/>
      <c r="G674" s="307"/>
      <c r="H674" s="307"/>
      <c r="I674" s="307"/>
      <c r="J674" s="307"/>
      <c r="K674" s="307"/>
      <c r="L674" s="307"/>
      <c r="M674" s="307"/>
    </row>
    <row r="675" spans="2:13">
      <c r="B675" s="505"/>
      <c r="C675" s="307"/>
      <c r="D675" s="307"/>
      <c r="E675" s="307"/>
      <c r="F675" s="307"/>
      <c r="G675" s="307"/>
      <c r="H675" s="307"/>
      <c r="I675" s="307"/>
      <c r="J675" s="307"/>
      <c r="K675" s="307"/>
      <c r="L675" s="307"/>
      <c r="M675" s="307"/>
    </row>
    <row r="676" spans="2:13">
      <c r="B676" s="505"/>
      <c r="C676" s="307"/>
      <c r="D676" s="307"/>
      <c r="E676" s="307"/>
      <c r="F676" s="307"/>
      <c r="G676" s="307"/>
      <c r="H676" s="307"/>
      <c r="I676" s="307"/>
      <c r="J676" s="307"/>
      <c r="K676" s="307"/>
      <c r="L676" s="307"/>
      <c r="M676" s="307"/>
    </row>
    <row r="677" spans="2:13">
      <c r="B677" s="505"/>
      <c r="C677" s="307"/>
      <c r="D677" s="307"/>
      <c r="E677" s="307"/>
      <c r="F677" s="307"/>
      <c r="G677" s="307"/>
      <c r="H677" s="307"/>
      <c r="I677" s="307"/>
      <c r="J677" s="307"/>
      <c r="K677" s="307"/>
      <c r="L677" s="307"/>
      <c r="M677" s="307"/>
    </row>
    <row r="678" spans="2:13">
      <c r="B678" s="505"/>
      <c r="C678" s="307"/>
      <c r="D678" s="307"/>
      <c r="E678" s="307"/>
      <c r="F678" s="307"/>
      <c r="G678" s="307"/>
      <c r="H678" s="307"/>
      <c r="I678" s="307"/>
      <c r="J678" s="307"/>
      <c r="K678" s="307"/>
      <c r="L678" s="307"/>
      <c r="M678" s="307"/>
    </row>
    <row r="679" spans="2:13">
      <c r="B679" s="505"/>
      <c r="C679" s="307"/>
      <c r="D679" s="307"/>
      <c r="E679" s="307"/>
      <c r="F679" s="307"/>
      <c r="G679" s="307"/>
      <c r="H679" s="307"/>
      <c r="I679" s="307"/>
      <c r="J679" s="307"/>
      <c r="K679" s="307"/>
      <c r="L679" s="307"/>
      <c r="M679" s="307"/>
    </row>
    <row r="680" spans="2:13">
      <c r="B680" s="505"/>
      <c r="C680" s="307"/>
      <c r="D680" s="307"/>
      <c r="E680" s="307"/>
      <c r="F680" s="307"/>
      <c r="G680" s="307"/>
      <c r="H680" s="307"/>
      <c r="I680" s="307"/>
      <c r="J680" s="307"/>
      <c r="K680" s="307"/>
      <c r="L680" s="307"/>
      <c r="M680" s="307"/>
    </row>
    <row r="681" spans="2:13">
      <c r="B681" s="505"/>
      <c r="C681" s="307"/>
      <c r="D681" s="307"/>
      <c r="E681" s="307"/>
      <c r="F681" s="307"/>
      <c r="G681" s="307"/>
      <c r="H681" s="307"/>
      <c r="I681" s="307"/>
      <c r="J681" s="307"/>
      <c r="K681" s="307"/>
      <c r="L681" s="307"/>
      <c r="M681" s="307"/>
    </row>
    <row r="682" spans="2:13">
      <c r="B682" s="505"/>
      <c r="C682" s="307"/>
      <c r="D682" s="307"/>
      <c r="E682" s="307"/>
      <c r="F682" s="307"/>
      <c r="G682" s="307"/>
      <c r="H682" s="307"/>
      <c r="I682" s="307"/>
      <c r="J682" s="307"/>
      <c r="K682" s="307"/>
      <c r="L682" s="307"/>
      <c r="M682" s="307"/>
    </row>
    <row r="683" spans="2:13">
      <c r="B683" s="505"/>
      <c r="C683" s="307"/>
      <c r="D683" s="307"/>
      <c r="E683" s="307"/>
      <c r="F683" s="307"/>
      <c r="G683" s="307"/>
      <c r="H683" s="307"/>
      <c r="I683" s="307"/>
      <c r="J683" s="307"/>
      <c r="K683" s="307"/>
      <c r="L683" s="307"/>
      <c r="M683" s="307"/>
    </row>
    <row r="684" spans="2:13">
      <c r="B684" s="505"/>
      <c r="C684" s="307"/>
      <c r="D684" s="307"/>
      <c r="E684" s="307"/>
      <c r="F684" s="307"/>
      <c r="G684" s="307"/>
      <c r="H684" s="307"/>
      <c r="I684" s="307"/>
      <c r="J684" s="307"/>
      <c r="K684" s="307"/>
      <c r="L684" s="307"/>
      <c r="M684" s="307"/>
    </row>
    <row r="685" spans="2:13">
      <c r="B685" s="505"/>
      <c r="C685" s="307"/>
      <c r="D685" s="307"/>
      <c r="E685" s="307"/>
      <c r="F685" s="307"/>
      <c r="G685" s="307"/>
      <c r="H685" s="307"/>
      <c r="I685" s="307"/>
      <c r="J685" s="307"/>
      <c r="K685" s="307"/>
      <c r="L685" s="307"/>
      <c r="M685" s="307"/>
    </row>
    <row r="686" spans="2:13">
      <c r="B686" s="505"/>
      <c r="C686" s="307"/>
      <c r="D686" s="307"/>
      <c r="E686" s="307"/>
      <c r="F686" s="307"/>
      <c r="G686" s="307"/>
      <c r="H686" s="307"/>
      <c r="I686" s="307"/>
      <c r="J686" s="307"/>
      <c r="K686" s="307"/>
      <c r="L686" s="307"/>
      <c r="M686" s="307"/>
    </row>
    <row r="687" spans="2:13">
      <c r="B687" s="505"/>
      <c r="C687" s="307"/>
      <c r="D687" s="307"/>
      <c r="E687" s="307"/>
      <c r="F687" s="307"/>
      <c r="G687" s="307"/>
      <c r="H687" s="307"/>
      <c r="I687" s="307"/>
      <c r="J687" s="307"/>
      <c r="K687" s="307"/>
      <c r="L687" s="307"/>
      <c r="M687" s="307"/>
    </row>
    <row r="688" spans="2:13">
      <c r="B688" s="505"/>
      <c r="C688" s="307"/>
      <c r="D688" s="307"/>
      <c r="E688" s="307"/>
      <c r="F688" s="307"/>
      <c r="G688" s="307"/>
      <c r="H688" s="307"/>
      <c r="I688" s="307"/>
      <c r="J688" s="307"/>
      <c r="K688" s="307"/>
      <c r="L688" s="307"/>
      <c r="M688" s="307"/>
    </row>
    <row r="689" spans="2:13">
      <c r="B689" s="505"/>
      <c r="C689" s="307"/>
      <c r="D689" s="307"/>
      <c r="E689" s="307"/>
      <c r="F689" s="307"/>
      <c r="G689" s="307"/>
      <c r="H689" s="307"/>
      <c r="I689" s="307"/>
      <c r="J689" s="307"/>
      <c r="K689" s="307"/>
      <c r="L689" s="307"/>
      <c r="M689" s="307"/>
    </row>
    <row r="690" spans="2:13">
      <c r="B690" s="505"/>
      <c r="C690" s="307"/>
      <c r="D690" s="307"/>
      <c r="E690" s="307"/>
      <c r="F690" s="307"/>
      <c r="G690" s="307"/>
      <c r="H690" s="307"/>
      <c r="I690" s="307"/>
      <c r="J690" s="307"/>
      <c r="K690" s="307"/>
      <c r="L690" s="307"/>
      <c r="M690" s="307"/>
    </row>
    <row r="691" spans="2:13">
      <c r="B691" s="505"/>
      <c r="C691" s="307"/>
      <c r="D691" s="307"/>
      <c r="E691" s="307"/>
      <c r="F691" s="307"/>
      <c r="G691" s="307"/>
      <c r="H691" s="307"/>
      <c r="I691" s="307"/>
      <c r="J691" s="307"/>
      <c r="K691" s="307"/>
      <c r="L691" s="307"/>
      <c r="M691" s="307"/>
    </row>
    <row r="692" spans="2:13">
      <c r="B692" s="505"/>
      <c r="C692" s="307"/>
      <c r="D692" s="307"/>
      <c r="E692" s="307"/>
      <c r="F692" s="307"/>
      <c r="G692" s="307"/>
      <c r="H692" s="307"/>
      <c r="I692" s="307"/>
      <c r="J692" s="307"/>
      <c r="K692" s="307"/>
      <c r="L692" s="307"/>
      <c r="M692" s="307"/>
    </row>
    <row r="693" spans="2:13">
      <c r="B693" s="505"/>
      <c r="C693" s="307"/>
      <c r="D693" s="307"/>
      <c r="E693" s="307"/>
      <c r="F693" s="307"/>
      <c r="G693" s="307"/>
      <c r="H693" s="307"/>
      <c r="I693" s="307"/>
      <c r="J693" s="307"/>
      <c r="K693" s="307"/>
      <c r="L693" s="307"/>
      <c r="M693" s="307"/>
    </row>
    <row r="694" spans="2:13">
      <c r="B694" s="505"/>
      <c r="C694" s="307"/>
      <c r="D694" s="307"/>
      <c r="E694" s="307"/>
      <c r="F694" s="307"/>
      <c r="G694" s="307"/>
      <c r="H694" s="307"/>
      <c r="I694" s="307"/>
      <c r="J694" s="307"/>
      <c r="K694" s="307"/>
      <c r="L694" s="307"/>
      <c r="M694" s="307"/>
    </row>
    <row r="695" spans="2:13">
      <c r="B695" s="505"/>
      <c r="C695" s="307"/>
      <c r="D695" s="307"/>
      <c r="E695" s="307"/>
      <c r="F695" s="307"/>
      <c r="G695" s="307"/>
      <c r="H695" s="307"/>
      <c r="I695" s="307"/>
      <c r="J695" s="307"/>
      <c r="K695" s="307"/>
      <c r="L695" s="307"/>
      <c r="M695" s="307"/>
    </row>
    <row r="696" spans="2:13">
      <c r="B696" s="505"/>
      <c r="C696" s="307"/>
      <c r="D696" s="307"/>
      <c r="E696" s="307"/>
      <c r="F696" s="307"/>
      <c r="G696" s="307"/>
      <c r="H696" s="307"/>
      <c r="I696" s="307"/>
      <c r="J696" s="307"/>
      <c r="K696" s="307"/>
      <c r="L696" s="307"/>
      <c r="M696" s="307"/>
    </row>
    <row r="697" spans="2:13">
      <c r="B697" s="505"/>
      <c r="C697" s="307"/>
      <c r="D697" s="307"/>
      <c r="E697" s="307"/>
      <c r="F697" s="307"/>
      <c r="G697" s="307"/>
      <c r="H697" s="307"/>
      <c r="I697" s="307"/>
      <c r="J697" s="307"/>
      <c r="K697" s="307"/>
      <c r="L697" s="307"/>
      <c r="M697" s="307"/>
    </row>
    <row r="698" spans="2:13">
      <c r="B698" s="505"/>
      <c r="C698" s="307"/>
      <c r="D698" s="307"/>
      <c r="E698" s="307"/>
      <c r="F698" s="307"/>
      <c r="G698" s="307"/>
      <c r="H698" s="307"/>
      <c r="I698" s="307"/>
      <c r="J698" s="307"/>
      <c r="K698" s="307"/>
      <c r="L698" s="307"/>
      <c r="M698" s="307"/>
    </row>
    <row r="699" spans="2:13">
      <c r="B699" s="505"/>
      <c r="C699" s="307"/>
      <c r="D699" s="307"/>
      <c r="E699" s="307"/>
      <c r="F699" s="307"/>
      <c r="G699" s="307"/>
      <c r="H699" s="307"/>
      <c r="I699" s="307"/>
      <c r="J699" s="307"/>
      <c r="K699" s="307"/>
      <c r="L699" s="307"/>
      <c r="M699" s="307"/>
    </row>
    <row r="700" spans="2:13">
      <c r="B700" s="505"/>
      <c r="C700" s="307"/>
      <c r="D700" s="307"/>
      <c r="E700" s="307"/>
      <c r="F700" s="307"/>
      <c r="G700" s="307"/>
      <c r="H700" s="307"/>
      <c r="I700" s="307"/>
      <c r="J700" s="307"/>
      <c r="K700" s="307"/>
      <c r="L700" s="307"/>
      <c r="M700" s="307"/>
    </row>
    <row r="701" spans="2:13">
      <c r="B701" s="505"/>
      <c r="C701" s="307"/>
      <c r="D701" s="307"/>
      <c r="E701" s="307"/>
      <c r="F701" s="307"/>
      <c r="G701" s="307"/>
      <c r="H701" s="307"/>
      <c r="I701" s="307"/>
      <c r="J701" s="307"/>
      <c r="K701" s="307"/>
      <c r="L701" s="307"/>
      <c r="M701" s="307"/>
    </row>
    <row r="702" spans="2:13">
      <c r="B702" s="505"/>
      <c r="C702" s="307"/>
      <c r="D702" s="307"/>
      <c r="E702" s="307"/>
      <c r="F702" s="307"/>
      <c r="G702" s="307"/>
      <c r="H702" s="307"/>
      <c r="I702" s="307"/>
      <c r="J702" s="307"/>
      <c r="K702" s="307"/>
      <c r="L702" s="307"/>
      <c r="M702" s="307"/>
    </row>
    <row r="703" spans="2:13">
      <c r="B703" s="505"/>
      <c r="C703" s="307"/>
      <c r="D703" s="307"/>
      <c r="E703" s="307"/>
      <c r="F703" s="307"/>
      <c r="G703" s="307"/>
      <c r="H703" s="307"/>
      <c r="I703" s="307"/>
      <c r="J703" s="307"/>
      <c r="K703" s="307"/>
      <c r="L703" s="307"/>
      <c r="M703" s="307"/>
    </row>
    <row r="704" spans="2:13">
      <c r="B704" s="505"/>
      <c r="C704" s="307"/>
      <c r="D704" s="307"/>
      <c r="E704" s="307"/>
      <c r="F704" s="307"/>
      <c r="G704" s="307"/>
      <c r="H704" s="307"/>
      <c r="I704" s="307"/>
      <c r="J704" s="307"/>
      <c r="K704" s="307"/>
      <c r="L704" s="307"/>
      <c r="M704" s="307"/>
    </row>
    <row r="705" spans="2:13">
      <c r="B705" s="505"/>
      <c r="C705" s="307"/>
      <c r="D705" s="307"/>
      <c r="E705" s="307"/>
      <c r="F705" s="307"/>
      <c r="G705" s="307"/>
      <c r="H705" s="307"/>
      <c r="I705" s="307"/>
      <c r="J705" s="307"/>
      <c r="K705" s="307"/>
      <c r="L705" s="307"/>
      <c r="M705" s="307"/>
    </row>
    <row r="706" spans="2:13">
      <c r="B706" s="505"/>
      <c r="C706" s="307"/>
      <c r="D706" s="307"/>
      <c r="E706" s="307"/>
      <c r="F706" s="307"/>
      <c r="G706" s="307"/>
      <c r="H706" s="307"/>
      <c r="I706" s="307"/>
      <c r="J706" s="307"/>
      <c r="K706" s="307"/>
      <c r="L706" s="307"/>
      <c r="M706" s="307"/>
    </row>
    <row r="707" spans="2:13">
      <c r="B707" s="505"/>
      <c r="C707" s="307"/>
      <c r="D707" s="307"/>
      <c r="E707" s="307"/>
      <c r="F707" s="307"/>
      <c r="G707" s="307"/>
      <c r="H707" s="307"/>
      <c r="I707" s="307"/>
      <c r="J707" s="307"/>
      <c r="K707" s="307"/>
      <c r="L707" s="307"/>
      <c r="M707" s="307"/>
    </row>
    <row r="708" spans="2:13">
      <c r="B708" s="505"/>
      <c r="C708" s="307"/>
      <c r="D708" s="307"/>
      <c r="E708" s="307"/>
      <c r="F708" s="307"/>
      <c r="G708" s="307"/>
      <c r="H708" s="307"/>
      <c r="I708" s="307"/>
      <c r="J708" s="307"/>
      <c r="K708" s="307"/>
      <c r="L708" s="307"/>
      <c r="M708" s="307"/>
    </row>
    <row r="709" spans="2:13">
      <c r="B709" s="505"/>
      <c r="C709" s="307"/>
      <c r="D709" s="307"/>
      <c r="E709" s="307"/>
      <c r="F709" s="307"/>
      <c r="G709" s="307"/>
      <c r="H709" s="307"/>
      <c r="I709" s="307"/>
      <c r="J709" s="307"/>
      <c r="K709" s="307"/>
      <c r="L709" s="307"/>
      <c r="M709" s="307"/>
    </row>
    <row r="710" spans="2:13">
      <c r="B710" s="505"/>
      <c r="C710" s="307"/>
      <c r="D710" s="307"/>
      <c r="E710" s="307"/>
      <c r="F710" s="307"/>
      <c r="G710" s="307"/>
      <c r="H710" s="307"/>
      <c r="I710" s="307"/>
      <c r="J710" s="307"/>
      <c r="K710" s="307"/>
      <c r="L710" s="307"/>
      <c r="M710" s="307"/>
    </row>
    <row r="711" spans="2:13">
      <c r="B711" s="505"/>
      <c r="C711" s="307"/>
      <c r="D711" s="307"/>
      <c r="E711" s="307"/>
      <c r="F711" s="307"/>
      <c r="G711" s="307"/>
      <c r="H711" s="307"/>
      <c r="I711" s="307"/>
      <c r="J711" s="307"/>
      <c r="K711" s="307"/>
      <c r="L711" s="307"/>
      <c r="M711" s="307"/>
    </row>
    <row r="712" spans="2:13">
      <c r="B712" s="505"/>
      <c r="C712" s="307"/>
      <c r="D712" s="307"/>
      <c r="E712" s="307"/>
      <c r="F712" s="307"/>
      <c r="G712" s="307"/>
      <c r="H712" s="307"/>
      <c r="I712" s="307"/>
      <c r="J712" s="307"/>
      <c r="K712" s="307"/>
      <c r="L712" s="307"/>
      <c r="M712" s="307"/>
    </row>
    <row r="713" spans="2:13">
      <c r="B713" s="505"/>
      <c r="C713" s="307"/>
      <c r="D713" s="307"/>
      <c r="E713" s="307"/>
      <c r="F713" s="307"/>
      <c r="G713" s="307"/>
      <c r="H713" s="307"/>
      <c r="I713" s="307"/>
      <c r="J713" s="307"/>
      <c r="K713" s="307"/>
      <c r="L713" s="307"/>
      <c r="M713" s="307"/>
    </row>
    <row r="714" spans="2:13">
      <c r="B714" s="505"/>
      <c r="C714" s="307"/>
      <c r="D714" s="307"/>
      <c r="E714" s="307"/>
      <c r="F714" s="307"/>
      <c r="G714" s="307"/>
      <c r="H714" s="307"/>
      <c r="I714" s="307"/>
      <c r="J714" s="307"/>
      <c r="K714" s="307"/>
      <c r="L714" s="307"/>
      <c r="M714" s="307"/>
    </row>
    <row r="715" spans="2:13">
      <c r="B715" s="505"/>
      <c r="C715" s="307"/>
      <c r="D715" s="307"/>
      <c r="E715" s="307"/>
      <c r="F715" s="307"/>
      <c r="G715" s="307"/>
      <c r="H715" s="307"/>
      <c r="I715" s="307"/>
      <c r="J715" s="307"/>
      <c r="K715" s="307"/>
      <c r="L715" s="307"/>
      <c r="M715" s="307"/>
    </row>
    <row r="716" spans="2:13">
      <c r="B716" s="505"/>
      <c r="C716" s="307"/>
      <c r="D716" s="307"/>
      <c r="E716" s="307"/>
      <c r="F716" s="307"/>
      <c r="G716" s="307"/>
      <c r="H716" s="307"/>
      <c r="I716" s="307"/>
      <c r="J716" s="307"/>
      <c r="K716" s="307"/>
      <c r="L716" s="307"/>
      <c r="M716" s="307"/>
    </row>
    <row r="717" spans="2:13">
      <c r="B717" s="505"/>
      <c r="C717" s="307"/>
      <c r="D717" s="307"/>
      <c r="E717" s="307"/>
      <c r="F717" s="307"/>
      <c r="G717" s="307"/>
      <c r="H717" s="307"/>
      <c r="I717" s="307"/>
      <c r="J717" s="307"/>
      <c r="K717" s="307"/>
      <c r="L717" s="307"/>
      <c r="M717" s="307"/>
    </row>
    <row r="718" spans="2:13">
      <c r="B718" s="505"/>
      <c r="C718" s="307"/>
      <c r="D718" s="307"/>
      <c r="E718" s="307"/>
      <c r="F718" s="307"/>
      <c r="G718" s="307"/>
      <c r="H718" s="307"/>
      <c r="I718" s="307"/>
      <c r="J718" s="307"/>
      <c r="K718" s="307"/>
      <c r="L718" s="307"/>
      <c r="M718" s="307"/>
    </row>
    <row r="719" spans="2:13">
      <c r="B719" s="505"/>
      <c r="C719" s="307"/>
      <c r="D719" s="307"/>
      <c r="E719" s="307"/>
      <c r="F719" s="307"/>
      <c r="G719" s="307"/>
      <c r="H719" s="307"/>
      <c r="I719" s="307"/>
      <c r="J719" s="307"/>
      <c r="K719" s="307"/>
      <c r="L719" s="307"/>
      <c r="M719" s="307"/>
    </row>
    <row r="720" spans="2:13">
      <c r="B720" s="505"/>
      <c r="C720" s="307"/>
      <c r="D720" s="307"/>
      <c r="E720" s="307"/>
      <c r="F720" s="307"/>
      <c r="G720" s="307"/>
      <c r="H720" s="307"/>
      <c r="I720" s="307"/>
      <c r="J720" s="307"/>
      <c r="K720" s="307"/>
      <c r="L720" s="307"/>
      <c r="M720" s="307"/>
    </row>
    <row r="721" spans="2:13">
      <c r="B721" s="505"/>
      <c r="C721" s="307"/>
      <c r="D721" s="307"/>
      <c r="E721" s="307"/>
      <c r="F721" s="307"/>
      <c r="G721" s="307"/>
      <c r="H721" s="307"/>
      <c r="I721" s="307"/>
      <c r="J721" s="307"/>
      <c r="K721" s="307"/>
      <c r="L721" s="307"/>
      <c r="M721" s="307"/>
    </row>
    <row r="722" spans="2:13">
      <c r="B722" s="505"/>
      <c r="C722" s="307"/>
      <c r="D722" s="307"/>
      <c r="E722" s="307"/>
      <c r="F722" s="307"/>
      <c r="G722" s="307"/>
      <c r="H722" s="307"/>
      <c r="I722" s="307"/>
      <c r="J722" s="307"/>
      <c r="K722" s="307"/>
      <c r="L722" s="307"/>
      <c r="M722" s="307"/>
    </row>
    <row r="723" spans="2:13">
      <c r="B723" s="505"/>
      <c r="C723" s="307"/>
      <c r="D723" s="307"/>
      <c r="E723" s="307"/>
      <c r="F723" s="307"/>
      <c r="G723" s="307"/>
      <c r="H723" s="307"/>
      <c r="I723" s="307"/>
      <c r="J723" s="307"/>
      <c r="K723" s="307"/>
      <c r="L723" s="307"/>
      <c r="M723" s="307"/>
    </row>
    <row r="724" spans="2:13">
      <c r="B724" s="505"/>
      <c r="C724" s="307"/>
      <c r="D724" s="307"/>
      <c r="E724" s="307"/>
      <c r="F724" s="307"/>
      <c r="G724" s="307"/>
      <c r="H724" s="307"/>
      <c r="I724" s="307"/>
      <c r="J724" s="307"/>
      <c r="K724" s="307"/>
      <c r="L724" s="307"/>
      <c r="M724" s="307"/>
    </row>
    <row r="725" spans="2:13">
      <c r="B725" s="505"/>
      <c r="C725" s="307"/>
      <c r="D725" s="307"/>
      <c r="E725" s="307"/>
      <c r="F725" s="307"/>
      <c r="G725" s="307"/>
      <c r="H725" s="307"/>
      <c r="I725" s="307"/>
      <c r="J725" s="307"/>
      <c r="K725" s="307"/>
      <c r="L725" s="307"/>
      <c r="M725" s="307"/>
    </row>
    <row r="726" spans="2:13">
      <c r="B726" s="505"/>
      <c r="C726" s="307"/>
      <c r="D726" s="307"/>
      <c r="E726" s="307"/>
      <c r="F726" s="307"/>
      <c r="G726" s="307"/>
      <c r="H726" s="307"/>
      <c r="I726" s="307"/>
      <c r="J726" s="307"/>
      <c r="K726" s="307"/>
      <c r="L726" s="307"/>
      <c r="M726" s="307"/>
    </row>
    <row r="727" spans="2:13">
      <c r="B727" s="505"/>
      <c r="C727" s="307"/>
      <c r="D727" s="307"/>
      <c r="E727" s="307"/>
      <c r="F727" s="307"/>
      <c r="G727" s="307"/>
      <c r="H727" s="307"/>
      <c r="I727" s="307"/>
      <c r="J727" s="307"/>
      <c r="K727" s="307"/>
      <c r="L727" s="307"/>
      <c r="M727" s="307"/>
    </row>
    <row r="728" spans="2:13">
      <c r="B728" s="505"/>
      <c r="C728" s="307"/>
      <c r="D728" s="307"/>
      <c r="E728" s="307"/>
      <c r="F728" s="307"/>
      <c r="G728" s="307"/>
      <c r="H728" s="307"/>
      <c r="I728" s="307"/>
      <c r="J728" s="307"/>
      <c r="K728" s="307"/>
      <c r="L728" s="307"/>
      <c r="M728" s="307"/>
    </row>
    <row r="729" spans="2:13">
      <c r="B729" s="505"/>
      <c r="C729" s="307"/>
      <c r="D729" s="307"/>
      <c r="E729" s="307"/>
      <c r="F729" s="307"/>
      <c r="G729" s="307"/>
      <c r="H729" s="307"/>
      <c r="I729" s="307"/>
      <c r="J729" s="307"/>
      <c r="K729" s="307"/>
      <c r="L729" s="307"/>
      <c r="M729" s="307"/>
    </row>
    <row r="730" spans="2:13">
      <c r="B730" s="505"/>
      <c r="C730" s="307"/>
      <c r="D730" s="307"/>
      <c r="E730" s="307"/>
      <c r="F730" s="307"/>
      <c r="G730" s="307"/>
      <c r="H730" s="307"/>
      <c r="I730" s="307"/>
      <c r="J730" s="307"/>
      <c r="K730" s="307"/>
      <c r="L730" s="307"/>
      <c r="M730" s="307"/>
    </row>
    <row r="731" spans="2:13">
      <c r="B731" s="505"/>
      <c r="C731" s="307"/>
      <c r="D731" s="307"/>
      <c r="E731" s="307"/>
      <c r="F731" s="307"/>
      <c r="G731" s="307"/>
      <c r="H731" s="307"/>
      <c r="I731" s="307"/>
      <c r="J731" s="307"/>
      <c r="K731" s="307"/>
      <c r="L731" s="307"/>
      <c r="M731" s="307"/>
    </row>
    <row r="732" spans="2:13">
      <c r="B732" s="505"/>
      <c r="C732" s="307"/>
      <c r="D732" s="307"/>
      <c r="E732" s="307"/>
      <c r="F732" s="307"/>
      <c r="G732" s="307"/>
      <c r="H732" s="307"/>
      <c r="I732" s="307"/>
      <c r="J732" s="307"/>
      <c r="K732" s="307"/>
      <c r="L732" s="307"/>
      <c r="M732" s="307"/>
    </row>
    <row r="733" spans="2:13">
      <c r="B733" s="505"/>
      <c r="C733" s="307"/>
      <c r="D733" s="307"/>
      <c r="E733" s="307"/>
      <c r="F733" s="307"/>
      <c r="G733" s="307"/>
      <c r="H733" s="307"/>
      <c r="I733" s="307"/>
      <c r="J733" s="307"/>
      <c r="K733" s="307"/>
      <c r="L733" s="307"/>
      <c r="M733" s="307"/>
    </row>
    <row r="734" spans="2:13">
      <c r="B734" s="505"/>
      <c r="C734" s="307"/>
      <c r="D734" s="307"/>
      <c r="E734" s="307"/>
      <c r="F734" s="307"/>
      <c r="G734" s="307"/>
      <c r="H734" s="307"/>
      <c r="I734" s="307"/>
      <c r="J734" s="307"/>
      <c r="K734" s="307"/>
      <c r="L734" s="307"/>
      <c r="M734" s="307"/>
    </row>
    <row r="735" spans="2:13">
      <c r="B735" s="505"/>
      <c r="C735" s="307"/>
      <c r="D735" s="307"/>
      <c r="E735" s="307"/>
      <c r="F735" s="307"/>
      <c r="G735" s="307"/>
      <c r="H735" s="307"/>
      <c r="I735" s="307"/>
      <c r="J735" s="307"/>
      <c r="K735" s="307"/>
      <c r="L735" s="307"/>
      <c r="M735" s="307"/>
    </row>
    <row r="736" spans="2:13">
      <c r="B736" s="505"/>
      <c r="C736" s="307"/>
      <c r="D736" s="307"/>
      <c r="E736" s="307"/>
      <c r="F736" s="307"/>
      <c r="G736" s="307"/>
      <c r="H736" s="307"/>
      <c r="I736" s="307"/>
      <c r="J736" s="307"/>
      <c r="K736" s="307"/>
      <c r="L736" s="307"/>
      <c r="M736" s="307"/>
    </row>
    <row r="737" spans="2:13">
      <c r="B737" s="505"/>
      <c r="C737" s="307"/>
      <c r="D737" s="307"/>
      <c r="E737" s="307"/>
      <c r="F737" s="307"/>
      <c r="G737" s="307"/>
      <c r="H737" s="307"/>
      <c r="I737" s="307"/>
      <c r="J737" s="307"/>
      <c r="K737" s="307"/>
      <c r="L737" s="307"/>
      <c r="M737" s="307"/>
    </row>
    <row r="738" spans="2:13">
      <c r="B738" s="505"/>
      <c r="C738" s="307"/>
      <c r="D738" s="307"/>
      <c r="E738" s="307"/>
      <c r="F738" s="307"/>
      <c r="G738" s="307"/>
      <c r="H738" s="307"/>
      <c r="I738" s="307"/>
      <c r="J738" s="307"/>
      <c r="K738" s="307"/>
      <c r="L738" s="307"/>
      <c r="M738" s="307"/>
    </row>
    <row r="739" spans="2:13">
      <c r="B739" s="505"/>
      <c r="C739" s="307"/>
      <c r="D739" s="307"/>
      <c r="E739" s="307"/>
      <c r="F739" s="307"/>
      <c r="G739" s="307"/>
      <c r="H739" s="307"/>
      <c r="I739" s="307"/>
      <c r="J739" s="307"/>
      <c r="K739" s="307"/>
      <c r="L739" s="307"/>
      <c r="M739" s="307"/>
    </row>
    <row r="740" spans="2:13">
      <c r="B740" s="505"/>
      <c r="C740" s="307"/>
      <c r="D740" s="307"/>
      <c r="E740" s="307"/>
      <c r="F740" s="307"/>
      <c r="G740" s="307"/>
      <c r="H740" s="307"/>
      <c r="I740" s="307"/>
      <c r="J740" s="307"/>
      <c r="K740" s="307"/>
      <c r="L740" s="307"/>
      <c r="M740" s="307"/>
    </row>
    <row r="741" spans="2:13">
      <c r="B741" s="505"/>
      <c r="C741" s="307"/>
      <c r="D741" s="307"/>
      <c r="E741" s="307"/>
      <c r="F741" s="307"/>
      <c r="G741" s="307"/>
      <c r="H741" s="307"/>
      <c r="I741" s="307"/>
      <c r="J741" s="307"/>
      <c r="K741" s="307"/>
      <c r="L741" s="307"/>
      <c r="M741" s="307"/>
    </row>
    <row r="742" spans="2:13">
      <c r="B742" s="505"/>
      <c r="C742" s="307"/>
      <c r="D742" s="307"/>
      <c r="E742" s="307"/>
      <c r="F742" s="307"/>
      <c r="G742" s="307"/>
      <c r="H742" s="307"/>
      <c r="I742" s="307"/>
      <c r="J742" s="307"/>
      <c r="K742" s="307"/>
      <c r="L742" s="307"/>
      <c r="M742" s="307"/>
    </row>
    <row r="743" spans="2:13">
      <c r="B743" s="505"/>
      <c r="C743" s="307"/>
      <c r="D743" s="307"/>
      <c r="E743" s="307"/>
      <c r="F743" s="307"/>
      <c r="G743" s="307"/>
      <c r="H743" s="307"/>
      <c r="I743" s="307"/>
      <c r="J743" s="307"/>
      <c r="K743" s="307"/>
      <c r="L743" s="307"/>
      <c r="M743" s="307"/>
    </row>
    <row r="744" spans="2:13">
      <c r="B744" s="505"/>
      <c r="C744" s="307"/>
      <c r="D744" s="307"/>
      <c r="E744" s="307"/>
      <c r="F744" s="307"/>
      <c r="G744" s="307"/>
      <c r="H744" s="307"/>
      <c r="I744" s="307"/>
      <c r="J744" s="307"/>
      <c r="K744" s="307"/>
      <c r="L744" s="307"/>
      <c r="M744" s="307"/>
    </row>
    <row r="745" spans="2:13">
      <c r="B745" s="505"/>
      <c r="C745" s="307"/>
      <c r="D745" s="307"/>
      <c r="E745" s="307"/>
      <c r="F745" s="307"/>
      <c r="G745" s="307"/>
      <c r="H745" s="307"/>
      <c r="I745" s="307"/>
      <c r="J745" s="307"/>
      <c r="K745" s="307"/>
      <c r="L745" s="307"/>
      <c r="M745" s="307"/>
    </row>
    <row r="746" spans="2:13">
      <c r="B746" s="505"/>
      <c r="C746" s="307"/>
      <c r="D746" s="307"/>
      <c r="E746" s="307"/>
      <c r="F746" s="307"/>
      <c r="G746" s="307"/>
      <c r="H746" s="307"/>
      <c r="I746" s="307"/>
      <c r="J746" s="307"/>
      <c r="K746" s="307"/>
      <c r="L746" s="307"/>
      <c r="M746" s="307"/>
    </row>
    <row r="747" spans="2:13">
      <c r="B747" s="505"/>
      <c r="C747" s="307"/>
      <c r="D747" s="307"/>
      <c r="E747" s="307"/>
      <c r="F747" s="307"/>
      <c r="G747" s="307"/>
      <c r="H747" s="307"/>
      <c r="I747" s="307"/>
      <c r="J747" s="307"/>
      <c r="K747" s="307"/>
      <c r="L747" s="307"/>
      <c r="M747" s="307"/>
    </row>
    <row r="748" spans="2:13">
      <c r="B748" s="505"/>
      <c r="C748" s="307"/>
      <c r="D748" s="307"/>
      <c r="E748" s="307"/>
      <c r="F748" s="307"/>
      <c r="G748" s="307"/>
      <c r="H748" s="307"/>
      <c r="I748" s="307"/>
      <c r="J748" s="307"/>
      <c r="K748" s="307"/>
      <c r="L748" s="307"/>
      <c r="M748" s="307"/>
    </row>
    <row r="749" spans="2:13">
      <c r="B749" s="505"/>
      <c r="C749" s="307"/>
      <c r="D749" s="307"/>
      <c r="E749" s="307"/>
      <c r="F749" s="307"/>
      <c r="G749" s="307"/>
      <c r="H749" s="307"/>
      <c r="I749" s="307"/>
      <c r="J749" s="307"/>
      <c r="K749" s="307"/>
      <c r="L749" s="307"/>
      <c r="M749" s="307"/>
    </row>
    <row r="750" spans="2:13">
      <c r="B750" s="505"/>
      <c r="C750" s="307"/>
      <c r="D750" s="307"/>
      <c r="E750" s="307"/>
      <c r="F750" s="307"/>
      <c r="G750" s="307"/>
      <c r="H750" s="307"/>
      <c r="I750" s="307"/>
      <c r="J750" s="307"/>
      <c r="K750" s="307"/>
      <c r="L750" s="307"/>
      <c r="M750" s="307"/>
    </row>
    <row r="751" spans="2:13">
      <c r="B751" s="505"/>
      <c r="C751" s="307"/>
      <c r="D751" s="307"/>
      <c r="E751" s="307"/>
      <c r="F751" s="307"/>
      <c r="G751" s="307"/>
      <c r="H751" s="307"/>
      <c r="I751" s="307"/>
      <c r="J751" s="307"/>
      <c r="K751" s="307"/>
      <c r="L751" s="307"/>
      <c r="M751" s="307"/>
    </row>
    <row r="752" spans="2:13">
      <c r="B752" s="505"/>
      <c r="C752" s="307"/>
      <c r="D752" s="307"/>
      <c r="E752" s="307"/>
      <c r="F752" s="307"/>
      <c r="G752" s="307"/>
      <c r="H752" s="307"/>
      <c r="I752" s="307"/>
      <c r="J752" s="307"/>
      <c r="K752" s="307"/>
      <c r="L752" s="307"/>
      <c r="M752" s="307"/>
    </row>
    <row r="753" spans="2:13">
      <c r="B753" s="505"/>
      <c r="C753" s="307"/>
      <c r="D753" s="307"/>
      <c r="E753" s="307"/>
      <c r="F753" s="307"/>
      <c r="G753" s="307"/>
      <c r="H753" s="307"/>
      <c r="I753" s="307"/>
      <c r="J753" s="307"/>
      <c r="K753" s="307"/>
      <c r="L753" s="307"/>
      <c r="M753" s="307"/>
    </row>
    <row r="754" spans="2:13">
      <c r="B754" s="505"/>
      <c r="C754" s="307"/>
      <c r="D754" s="307"/>
      <c r="E754" s="307"/>
      <c r="F754" s="307"/>
      <c r="G754" s="307"/>
      <c r="H754" s="307"/>
      <c r="I754" s="307"/>
      <c r="J754" s="307"/>
      <c r="K754" s="307"/>
      <c r="L754" s="307"/>
      <c r="M754" s="307"/>
    </row>
    <row r="755" spans="2:13">
      <c r="B755" s="505"/>
      <c r="C755" s="307"/>
      <c r="D755" s="307"/>
      <c r="E755" s="307"/>
      <c r="F755" s="307"/>
      <c r="G755" s="307"/>
      <c r="H755" s="307"/>
      <c r="I755" s="307"/>
      <c r="J755" s="307"/>
      <c r="K755" s="307"/>
      <c r="L755" s="307"/>
      <c r="M755" s="307"/>
    </row>
    <row r="756" spans="2:13">
      <c r="B756" s="505"/>
      <c r="C756" s="307"/>
      <c r="D756" s="307"/>
      <c r="E756" s="307"/>
      <c r="F756" s="307"/>
      <c r="G756" s="307"/>
      <c r="H756" s="307"/>
      <c r="I756" s="307"/>
      <c r="J756" s="307"/>
      <c r="K756" s="307"/>
      <c r="L756" s="307"/>
      <c r="M756" s="307"/>
    </row>
    <row r="757" spans="2:13">
      <c r="B757" s="505"/>
      <c r="C757" s="307"/>
      <c r="D757" s="307"/>
      <c r="E757" s="307"/>
      <c r="F757" s="307"/>
      <c r="G757" s="307"/>
      <c r="H757" s="307"/>
      <c r="I757" s="307"/>
      <c r="J757" s="307"/>
      <c r="K757" s="307"/>
      <c r="L757" s="307"/>
      <c r="M757" s="307"/>
    </row>
    <row r="758" spans="2:13">
      <c r="B758" s="505"/>
      <c r="C758" s="307"/>
      <c r="D758" s="307"/>
      <c r="E758" s="307"/>
      <c r="F758" s="307"/>
      <c r="G758" s="307"/>
      <c r="H758" s="307"/>
      <c r="I758" s="307"/>
      <c r="J758" s="307"/>
      <c r="K758" s="307"/>
      <c r="L758" s="307"/>
      <c r="M758" s="307"/>
    </row>
    <row r="759" spans="2:13">
      <c r="B759" s="505"/>
      <c r="C759" s="307"/>
      <c r="D759" s="307"/>
      <c r="E759" s="307"/>
      <c r="F759" s="307"/>
      <c r="G759" s="307"/>
      <c r="H759" s="307"/>
      <c r="I759" s="307"/>
      <c r="J759" s="307"/>
      <c r="K759" s="307"/>
      <c r="L759" s="307"/>
      <c r="M759" s="307"/>
    </row>
    <row r="760" spans="2:13">
      <c r="B760" s="505"/>
      <c r="C760" s="307"/>
      <c r="D760" s="307"/>
      <c r="E760" s="307"/>
      <c r="F760" s="307"/>
      <c r="G760" s="307"/>
      <c r="H760" s="307"/>
      <c r="I760" s="307"/>
      <c r="J760" s="307"/>
      <c r="K760" s="307"/>
      <c r="L760" s="307"/>
      <c r="M760" s="307"/>
    </row>
    <row r="761" spans="2:13">
      <c r="B761" s="505"/>
      <c r="C761" s="307"/>
      <c r="D761" s="307"/>
      <c r="E761" s="307"/>
      <c r="F761" s="307"/>
      <c r="G761" s="307"/>
      <c r="H761" s="307"/>
      <c r="I761" s="307"/>
      <c r="J761" s="307"/>
      <c r="K761" s="307"/>
      <c r="L761" s="307"/>
      <c r="M761" s="307"/>
    </row>
    <row r="762" spans="2:13">
      <c r="B762" s="505"/>
      <c r="C762" s="307"/>
      <c r="D762" s="307"/>
      <c r="E762" s="307"/>
      <c r="F762" s="307"/>
      <c r="G762" s="307"/>
      <c r="H762" s="307"/>
      <c r="I762" s="307"/>
      <c r="J762" s="307"/>
      <c r="K762" s="307"/>
      <c r="L762" s="307"/>
      <c r="M762" s="307"/>
    </row>
    <row r="763" spans="2:13">
      <c r="B763" s="505"/>
      <c r="C763" s="307"/>
      <c r="D763" s="307"/>
      <c r="E763" s="307"/>
      <c r="F763" s="307"/>
      <c r="G763" s="307"/>
      <c r="H763" s="307"/>
      <c r="I763" s="307"/>
      <c r="J763" s="307"/>
      <c r="K763" s="307"/>
      <c r="L763" s="307"/>
      <c r="M763" s="307"/>
    </row>
    <row r="764" spans="2:13">
      <c r="B764" s="505"/>
      <c r="C764" s="307"/>
      <c r="D764" s="307"/>
      <c r="E764" s="307"/>
      <c r="F764" s="307"/>
      <c r="G764" s="307"/>
      <c r="H764" s="307"/>
      <c r="I764" s="307"/>
      <c r="J764" s="307"/>
      <c r="K764" s="307"/>
      <c r="L764" s="307"/>
      <c r="M764" s="307"/>
    </row>
    <row r="765" spans="2:13">
      <c r="B765" s="505"/>
      <c r="C765" s="307"/>
      <c r="D765" s="307"/>
      <c r="E765" s="307"/>
      <c r="F765" s="307"/>
      <c r="G765" s="307"/>
      <c r="H765" s="307"/>
      <c r="I765" s="307"/>
      <c r="J765" s="307"/>
      <c r="K765" s="307"/>
      <c r="L765" s="307"/>
      <c r="M765" s="307"/>
    </row>
    <row r="766" spans="2:13">
      <c r="B766" s="505"/>
      <c r="C766" s="307"/>
      <c r="D766" s="307"/>
      <c r="E766" s="307"/>
      <c r="F766" s="307"/>
      <c r="G766" s="307"/>
      <c r="H766" s="307"/>
      <c r="I766" s="307"/>
      <c r="J766" s="307"/>
      <c r="K766" s="307"/>
      <c r="L766" s="307"/>
      <c r="M766" s="307"/>
    </row>
    <row r="767" spans="2:13">
      <c r="B767" s="505"/>
      <c r="C767" s="307"/>
      <c r="D767" s="307"/>
      <c r="E767" s="307"/>
      <c r="F767" s="307"/>
      <c r="G767" s="307"/>
      <c r="H767" s="307"/>
      <c r="I767" s="307"/>
      <c r="J767" s="307"/>
      <c r="K767" s="307"/>
      <c r="L767" s="307"/>
      <c r="M767" s="307"/>
    </row>
    <row r="768" spans="2:13">
      <c r="B768" s="505"/>
      <c r="C768" s="307"/>
      <c r="D768" s="307"/>
      <c r="E768" s="307"/>
      <c r="F768" s="307"/>
      <c r="G768" s="307"/>
      <c r="H768" s="307"/>
      <c r="I768" s="307"/>
      <c r="J768" s="307"/>
      <c r="K768" s="307"/>
      <c r="L768" s="307"/>
      <c r="M768" s="307"/>
    </row>
    <row r="769" spans="2:13">
      <c r="B769" s="505"/>
      <c r="C769" s="307"/>
      <c r="D769" s="307"/>
      <c r="E769" s="307"/>
      <c r="F769" s="307"/>
      <c r="G769" s="307"/>
      <c r="H769" s="307"/>
      <c r="I769" s="307"/>
      <c r="J769" s="307"/>
      <c r="K769" s="307"/>
      <c r="L769" s="307"/>
      <c r="M769" s="307"/>
    </row>
    <row r="770" spans="2:13">
      <c r="B770" s="505"/>
      <c r="C770" s="307"/>
      <c r="D770" s="307"/>
      <c r="E770" s="307"/>
      <c r="F770" s="307"/>
      <c r="G770" s="307"/>
      <c r="H770" s="307"/>
      <c r="I770" s="307"/>
      <c r="J770" s="307"/>
      <c r="K770" s="307"/>
      <c r="L770" s="307"/>
      <c r="M770" s="307"/>
    </row>
    <row r="771" spans="2:13">
      <c r="B771" s="505"/>
      <c r="C771" s="307"/>
      <c r="D771" s="307"/>
      <c r="E771" s="307"/>
      <c r="F771" s="307"/>
      <c r="G771" s="307"/>
      <c r="H771" s="307"/>
      <c r="I771" s="307"/>
      <c r="J771" s="307"/>
      <c r="K771" s="307"/>
      <c r="L771" s="307"/>
      <c r="M771" s="307"/>
    </row>
    <row r="772" spans="2:13">
      <c r="B772" s="505"/>
      <c r="C772" s="307"/>
      <c r="D772" s="307"/>
      <c r="E772" s="307"/>
      <c r="F772" s="307"/>
      <c r="G772" s="307"/>
      <c r="H772" s="307"/>
      <c r="I772" s="307"/>
      <c r="J772" s="307"/>
      <c r="K772" s="307"/>
      <c r="L772" s="307"/>
      <c r="M772" s="307"/>
    </row>
    <row r="773" spans="2:13">
      <c r="B773" s="505"/>
      <c r="C773" s="307"/>
      <c r="D773" s="307"/>
      <c r="E773" s="307"/>
      <c r="F773" s="307"/>
      <c r="G773" s="307"/>
      <c r="H773" s="307"/>
      <c r="I773" s="307"/>
      <c r="J773" s="307"/>
      <c r="K773" s="307"/>
      <c r="L773" s="307"/>
      <c r="M773" s="307"/>
    </row>
    <row r="774" spans="2:13">
      <c r="B774" s="505"/>
      <c r="C774" s="307"/>
      <c r="D774" s="307"/>
      <c r="E774" s="307"/>
      <c r="F774" s="307"/>
      <c r="G774" s="307"/>
      <c r="H774" s="307"/>
      <c r="I774" s="307"/>
      <c r="J774" s="307"/>
      <c r="K774" s="307"/>
      <c r="L774" s="307"/>
      <c r="M774" s="307"/>
    </row>
    <row r="775" spans="2:13">
      <c r="B775" s="505"/>
      <c r="C775" s="307"/>
      <c r="D775" s="307"/>
      <c r="E775" s="307"/>
      <c r="F775" s="307"/>
      <c r="G775" s="307"/>
      <c r="H775" s="307"/>
      <c r="I775" s="307"/>
      <c r="J775" s="307"/>
      <c r="K775" s="307"/>
      <c r="L775" s="307"/>
      <c r="M775" s="307"/>
    </row>
    <row r="776" spans="2:13">
      <c r="B776" s="505"/>
      <c r="C776" s="307"/>
      <c r="D776" s="307"/>
      <c r="E776" s="307"/>
      <c r="F776" s="307"/>
      <c r="G776" s="307"/>
      <c r="H776" s="307"/>
      <c r="I776" s="307"/>
      <c r="J776" s="307"/>
      <c r="K776" s="307"/>
      <c r="L776" s="307"/>
      <c r="M776" s="307"/>
    </row>
    <row r="777" spans="2:13">
      <c r="B777" s="505"/>
      <c r="C777" s="307"/>
      <c r="D777" s="307"/>
      <c r="E777" s="307"/>
      <c r="F777" s="307"/>
      <c r="G777" s="307"/>
      <c r="H777" s="307"/>
      <c r="I777" s="307"/>
      <c r="J777" s="307"/>
      <c r="K777" s="307"/>
      <c r="L777" s="307"/>
      <c r="M777" s="307"/>
    </row>
    <row r="778" spans="2:13">
      <c r="B778" s="505"/>
      <c r="C778" s="307"/>
      <c r="D778" s="307"/>
      <c r="E778" s="307"/>
      <c r="F778" s="307"/>
      <c r="G778" s="307"/>
      <c r="H778" s="307"/>
      <c r="I778" s="307"/>
      <c r="J778" s="307"/>
      <c r="K778" s="307"/>
      <c r="L778" s="307"/>
      <c r="M778" s="307"/>
    </row>
    <row r="779" spans="2:13">
      <c r="B779" s="505"/>
      <c r="C779" s="307"/>
      <c r="D779" s="307"/>
      <c r="E779" s="307"/>
      <c r="F779" s="307"/>
      <c r="G779" s="307"/>
      <c r="H779" s="307"/>
      <c r="I779" s="307"/>
      <c r="J779" s="307"/>
      <c r="K779" s="307"/>
      <c r="L779" s="307"/>
      <c r="M779" s="307"/>
    </row>
    <row r="780" spans="2:13">
      <c r="B780" s="505"/>
      <c r="C780" s="307"/>
      <c r="D780" s="307"/>
      <c r="E780" s="307"/>
      <c r="F780" s="307"/>
      <c r="G780" s="307"/>
      <c r="H780" s="307"/>
      <c r="I780" s="307"/>
      <c r="J780" s="307"/>
      <c r="K780" s="307"/>
      <c r="L780" s="307"/>
      <c r="M780" s="307"/>
    </row>
    <row r="781" spans="2:13">
      <c r="B781" s="505"/>
      <c r="C781" s="307"/>
      <c r="D781" s="307"/>
      <c r="E781" s="307"/>
      <c r="F781" s="307"/>
      <c r="G781" s="307"/>
      <c r="H781" s="307"/>
      <c r="I781" s="307"/>
      <c r="J781" s="307"/>
      <c r="K781" s="307"/>
      <c r="L781" s="307"/>
      <c r="M781" s="307"/>
    </row>
    <row r="782" spans="2:13">
      <c r="B782" s="505"/>
      <c r="C782" s="307"/>
      <c r="D782" s="307"/>
      <c r="E782" s="307"/>
      <c r="F782" s="307"/>
      <c r="G782" s="307"/>
      <c r="H782" s="307"/>
      <c r="I782" s="307"/>
      <c r="J782" s="307"/>
      <c r="K782" s="307"/>
      <c r="L782" s="307"/>
      <c r="M782" s="307"/>
    </row>
    <row r="783" spans="2:13">
      <c r="B783" s="505"/>
      <c r="C783" s="307"/>
      <c r="D783" s="307"/>
      <c r="E783" s="307"/>
      <c r="F783" s="307"/>
      <c r="G783" s="307"/>
      <c r="H783" s="307"/>
      <c r="I783" s="307"/>
      <c r="J783" s="307"/>
      <c r="K783" s="307"/>
      <c r="L783" s="307"/>
      <c r="M783" s="307"/>
    </row>
    <row r="784" spans="2:13">
      <c r="B784" s="505"/>
      <c r="C784" s="307"/>
      <c r="D784" s="307"/>
      <c r="E784" s="307"/>
      <c r="F784" s="307"/>
      <c r="G784" s="307"/>
      <c r="H784" s="307"/>
      <c r="I784" s="307"/>
      <c r="J784" s="307"/>
      <c r="K784" s="307"/>
      <c r="L784" s="307"/>
      <c r="M784" s="307"/>
    </row>
    <row r="785" spans="2:13">
      <c r="B785" s="505"/>
      <c r="C785" s="307"/>
      <c r="D785" s="307"/>
      <c r="E785" s="307"/>
      <c r="F785" s="307"/>
      <c r="G785" s="307"/>
      <c r="H785" s="307"/>
      <c r="I785" s="307"/>
      <c r="J785" s="307"/>
      <c r="K785" s="307"/>
      <c r="L785" s="307"/>
      <c r="M785" s="307"/>
    </row>
    <row r="786" spans="2:13">
      <c r="B786" s="505"/>
      <c r="C786" s="307"/>
      <c r="D786" s="307"/>
      <c r="E786" s="307"/>
      <c r="F786" s="307"/>
      <c r="G786" s="307"/>
      <c r="H786" s="307"/>
      <c r="I786" s="307"/>
      <c r="J786" s="307"/>
      <c r="K786" s="307"/>
      <c r="L786" s="307"/>
      <c r="M786" s="307"/>
    </row>
    <row r="787" spans="2:13">
      <c r="B787" s="505"/>
      <c r="C787" s="307"/>
      <c r="D787" s="307"/>
      <c r="E787" s="307"/>
      <c r="F787" s="307"/>
      <c r="G787" s="307"/>
      <c r="H787" s="307"/>
      <c r="I787" s="307"/>
      <c r="J787" s="307"/>
      <c r="K787" s="307"/>
      <c r="L787" s="307"/>
      <c r="M787" s="307"/>
    </row>
    <row r="788" spans="2:13">
      <c r="B788" s="505"/>
      <c r="C788" s="307"/>
      <c r="D788" s="307"/>
      <c r="E788" s="307"/>
      <c r="F788" s="307"/>
      <c r="G788" s="307"/>
      <c r="H788" s="307"/>
      <c r="I788" s="307"/>
      <c r="J788" s="307"/>
      <c r="K788" s="307"/>
      <c r="L788" s="307"/>
      <c r="M788" s="307"/>
    </row>
    <row r="789" spans="2:13">
      <c r="B789" s="505"/>
      <c r="C789" s="307"/>
      <c r="D789" s="307"/>
      <c r="E789" s="307"/>
      <c r="F789" s="307"/>
      <c r="G789" s="307"/>
      <c r="H789" s="307"/>
      <c r="I789" s="307"/>
      <c r="J789" s="307"/>
      <c r="K789" s="307"/>
      <c r="L789" s="307"/>
      <c r="M789" s="307"/>
    </row>
    <row r="790" spans="2:13">
      <c r="B790" s="505"/>
      <c r="C790" s="307"/>
      <c r="D790" s="307"/>
      <c r="E790" s="307"/>
      <c r="F790" s="307"/>
      <c r="G790" s="307"/>
      <c r="H790" s="307"/>
      <c r="I790" s="307"/>
      <c r="J790" s="307"/>
      <c r="K790" s="307"/>
      <c r="L790" s="307"/>
      <c r="M790" s="307"/>
    </row>
    <row r="791" spans="2:13">
      <c r="B791" s="505"/>
      <c r="C791" s="307"/>
      <c r="D791" s="307"/>
      <c r="E791" s="307"/>
      <c r="F791" s="307"/>
      <c r="G791" s="307"/>
      <c r="H791" s="307"/>
      <c r="I791" s="307"/>
      <c r="J791" s="307"/>
      <c r="K791" s="307"/>
      <c r="L791" s="307"/>
      <c r="M791" s="307"/>
    </row>
    <row r="792" spans="2:13">
      <c r="B792" s="505"/>
      <c r="C792" s="307"/>
      <c r="D792" s="307"/>
      <c r="E792" s="307"/>
      <c r="F792" s="307"/>
      <c r="G792" s="307"/>
      <c r="H792" s="307"/>
      <c r="I792" s="307"/>
      <c r="J792" s="307"/>
      <c r="K792" s="307"/>
      <c r="L792" s="307"/>
      <c r="M792" s="307"/>
    </row>
    <row r="793" spans="2:13">
      <c r="B793" s="505"/>
      <c r="C793" s="307"/>
      <c r="D793" s="307"/>
      <c r="E793" s="307"/>
      <c r="F793" s="307"/>
      <c r="G793" s="307"/>
      <c r="H793" s="307"/>
      <c r="I793" s="307"/>
      <c r="J793" s="307"/>
      <c r="K793" s="307"/>
      <c r="L793" s="307"/>
      <c r="M793" s="307"/>
    </row>
    <row r="794" spans="2:13">
      <c r="B794" s="505"/>
      <c r="C794" s="307"/>
      <c r="D794" s="307"/>
      <c r="E794" s="307"/>
      <c r="F794" s="307"/>
      <c r="G794" s="307"/>
      <c r="H794" s="307"/>
      <c r="I794" s="307"/>
      <c r="J794" s="307"/>
      <c r="K794" s="307"/>
      <c r="L794" s="307"/>
      <c r="M794" s="307"/>
    </row>
    <row r="795" spans="2:13">
      <c r="B795" s="505"/>
      <c r="C795" s="307"/>
      <c r="D795" s="307"/>
      <c r="E795" s="307"/>
      <c r="F795" s="307"/>
      <c r="G795" s="307"/>
      <c r="H795" s="307"/>
      <c r="I795" s="307"/>
      <c r="J795" s="307"/>
      <c r="K795" s="307"/>
      <c r="L795" s="307"/>
      <c r="M795" s="307"/>
    </row>
    <row r="796" spans="2:13">
      <c r="B796" s="505"/>
      <c r="C796" s="307"/>
      <c r="D796" s="307"/>
      <c r="E796" s="307"/>
      <c r="F796" s="307"/>
      <c r="G796" s="307"/>
      <c r="H796" s="307"/>
      <c r="I796" s="307"/>
      <c r="J796" s="307"/>
      <c r="K796" s="307"/>
      <c r="L796" s="307"/>
      <c r="M796" s="307"/>
    </row>
    <row r="797" spans="2:13">
      <c r="B797" s="505"/>
      <c r="C797" s="307"/>
      <c r="D797" s="307"/>
      <c r="E797" s="307"/>
      <c r="F797" s="307"/>
      <c r="G797" s="307"/>
      <c r="H797" s="307"/>
      <c r="I797" s="307"/>
      <c r="J797" s="307"/>
      <c r="K797" s="307"/>
      <c r="L797" s="307"/>
      <c r="M797" s="307"/>
    </row>
    <row r="798" spans="2:13">
      <c r="B798" s="505"/>
      <c r="C798" s="307"/>
      <c r="D798" s="307"/>
      <c r="E798" s="307"/>
      <c r="F798" s="307"/>
      <c r="G798" s="307"/>
      <c r="H798" s="307"/>
      <c r="I798" s="307"/>
      <c r="J798" s="307"/>
      <c r="K798" s="307"/>
      <c r="L798" s="307"/>
      <c r="M798" s="307"/>
    </row>
    <row r="799" spans="2:13">
      <c r="B799" s="505"/>
      <c r="C799" s="307"/>
      <c r="D799" s="307"/>
      <c r="E799" s="307"/>
      <c r="F799" s="307"/>
      <c r="G799" s="307"/>
      <c r="H799" s="307"/>
      <c r="I799" s="307"/>
      <c r="J799" s="307"/>
      <c r="K799" s="307"/>
      <c r="L799" s="307"/>
      <c r="M799" s="307"/>
    </row>
    <row r="800" spans="2:13">
      <c r="B800" s="505"/>
      <c r="C800" s="307"/>
      <c r="D800" s="307"/>
      <c r="E800" s="307"/>
      <c r="F800" s="307"/>
      <c r="G800" s="307"/>
      <c r="H800" s="307"/>
      <c r="I800" s="307"/>
      <c r="J800" s="307"/>
      <c r="K800" s="307"/>
      <c r="L800" s="307"/>
      <c r="M800" s="307"/>
    </row>
    <row r="801" spans="2:13">
      <c r="B801" s="505"/>
      <c r="C801" s="307"/>
      <c r="D801" s="307"/>
      <c r="E801" s="307"/>
      <c r="F801" s="307"/>
      <c r="G801" s="307"/>
      <c r="H801" s="307"/>
      <c r="I801" s="307"/>
      <c r="J801" s="307"/>
      <c r="K801" s="307"/>
      <c r="L801" s="307"/>
      <c r="M801" s="307"/>
    </row>
    <row r="802" spans="2:13">
      <c r="B802" s="505"/>
      <c r="C802" s="307"/>
      <c r="D802" s="307"/>
      <c r="E802" s="307"/>
      <c r="F802" s="307"/>
      <c r="G802" s="307"/>
      <c r="H802" s="307"/>
      <c r="I802" s="307"/>
      <c r="J802" s="307"/>
      <c r="K802" s="307"/>
      <c r="L802" s="307"/>
      <c r="M802" s="307"/>
    </row>
    <row r="803" spans="2:13">
      <c r="B803" s="505"/>
      <c r="C803" s="307"/>
      <c r="D803" s="307"/>
      <c r="E803" s="307"/>
      <c r="F803" s="307"/>
      <c r="G803" s="307"/>
      <c r="H803" s="307"/>
      <c r="I803" s="307"/>
      <c r="J803" s="307"/>
      <c r="K803" s="307"/>
      <c r="L803" s="307"/>
      <c r="M803" s="307"/>
    </row>
    <row r="804" spans="2:13">
      <c r="B804" s="505"/>
      <c r="C804" s="307"/>
      <c r="D804" s="307"/>
      <c r="E804" s="307"/>
      <c r="F804" s="307"/>
      <c r="G804" s="307"/>
      <c r="H804" s="307"/>
      <c r="I804" s="307"/>
      <c r="J804" s="307"/>
      <c r="K804" s="307"/>
      <c r="L804" s="307"/>
      <c r="M804" s="307"/>
    </row>
    <row r="805" spans="2:13">
      <c r="B805" s="505"/>
      <c r="C805" s="307"/>
      <c r="D805" s="307"/>
      <c r="E805" s="307"/>
      <c r="F805" s="307"/>
      <c r="G805" s="307"/>
      <c r="H805" s="307"/>
      <c r="I805" s="307"/>
      <c r="J805" s="307"/>
      <c r="K805" s="307"/>
      <c r="L805" s="307"/>
      <c r="M805" s="307"/>
    </row>
    <row r="806" spans="2:13">
      <c r="B806" s="505"/>
      <c r="C806" s="307"/>
      <c r="D806" s="307"/>
      <c r="E806" s="307"/>
      <c r="F806" s="307"/>
      <c r="G806" s="307"/>
      <c r="H806" s="307"/>
      <c r="I806" s="307"/>
      <c r="J806" s="307"/>
      <c r="K806" s="307"/>
      <c r="L806" s="307"/>
      <c r="M806" s="307"/>
    </row>
    <row r="807" spans="2:13">
      <c r="B807" s="505"/>
      <c r="C807" s="307"/>
      <c r="D807" s="307"/>
      <c r="E807" s="307"/>
      <c r="F807" s="307"/>
      <c r="G807" s="307"/>
      <c r="H807" s="307"/>
      <c r="I807" s="307"/>
      <c r="J807" s="307"/>
      <c r="K807" s="307"/>
      <c r="L807" s="307"/>
      <c r="M807" s="307"/>
    </row>
    <row r="808" spans="2:13">
      <c r="B808" s="505"/>
      <c r="C808" s="307"/>
      <c r="D808" s="307"/>
      <c r="E808" s="307"/>
      <c r="F808" s="307"/>
      <c r="G808" s="307"/>
      <c r="H808" s="307"/>
      <c r="I808" s="307"/>
      <c r="J808" s="307"/>
      <c r="K808" s="307"/>
      <c r="L808" s="307"/>
      <c r="M808" s="307"/>
    </row>
    <row r="809" spans="2:13">
      <c r="B809" s="505"/>
      <c r="C809" s="307"/>
      <c r="D809" s="307"/>
      <c r="E809" s="307"/>
      <c r="F809" s="307"/>
      <c r="G809" s="307"/>
      <c r="H809" s="307"/>
      <c r="I809" s="307"/>
      <c r="J809" s="307"/>
      <c r="K809" s="307"/>
      <c r="L809" s="307"/>
      <c r="M809" s="307"/>
    </row>
    <row r="810" spans="2:13">
      <c r="B810" s="505"/>
      <c r="C810" s="307"/>
      <c r="D810" s="307"/>
      <c r="E810" s="307"/>
      <c r="F810" s="307"/>
      <c r="G810" s="307"/>
      <c r="H810" s="307"/>
      <c r="I810" s="307"/>
      <c r="J810" s="307"/>
      <c r="K810" s="307"/>
      <c r="L810" s="307"/>
      <c r="M810" s="307"/>
    </row>
    <row r="811" spans="2:13">
      <c r="B811" s="505"/>
      <c r="C811" s="307"/>
      <c r="D811" s="307"/>
      <c r="E811" s="307"/>
      <c r="F811" s="307"/>
      <c r="G811" s="307"/>
      <c r="H811" s="307"/>
      <c r="I811" s="307"/>
      <c r="J811" s="307"/>
      <c r="K811" s="307"/>
      <c r="L811" s="307"/>
      <c r="M811" s="307"/>
    </row>
    <row r="812" spans="2:13">
      <c r="B812" s="505"/>
      <c r="C812" s="307"/>
      <c r="D812" s="307"/>
      <c r="E812" s="307"/>
      <c r="F812" s="307"/>
      <c r="G812" s="307"/>
      <c r="H812" s="307"/>
      <c r="I812" s="307"/>
      <c r="J812" s="307"/>
      <c r="K812" s="307"/>
      <c r="L812" s="307"/>
      <c r="M812" s="307"/>
    </row>
    <row r="813" spans="2:13">
      <c r="B813" s="505"/>
      <c r="C813" s="307"/>
      <c r="D813" s="307"/>
      <c r="E813" s="307"/>
      <c r="F813" s="307"/>
      <c r="G813" s="307"/>
      <c r="H813" s="307"/>
      <c r="I813" s="307"/>
      <c r="J813" s="307"/>
      <c r="K813" s="307"/>
      <c r="L813" s="307"/>
      <c r="M813" s="307"/>
    </row>
    <row r="814" spans="2:13">
      <c r="B814" s="505"/>
      <c r="C814" s="307"/>
      <c r="D814" s="307"/>
      <c r="E814" s="307"/>
      <c r="F814" s="307"/>
      <c r="G814" s="307"/>
      <c r="H814" s="307"/>
      <c r="I814" s="307"/>
      <c r="J814" s="307"/>
      <c r="K814" s="307"/>
      <c r="L814" s="307"/>
      <c r="M814" s="307"/>
    </row>
    <row r="815" spans="2:13">
      <c r="B815" s="505"/>
      <c r="C815" s="307"/>
      <c r="D815" s="307"/>
      <c r="E815" s="307"/>
      <c r="F815" s="307"/>
      <c r="G815" s="307"/>
      <c r="H815" s="307"/>
      <c r="I815" s="307"/>
      <c r="J815" s="307"/>
      <c r="K815" s="307"/>
      <c r="L815" s="307"/>
      <c r="M815" s="307"/>
    </row>
    <row r="816" spans="2:13">
      <c r="B816" s="505"/>
      <c r="C816" s="307"/>
      <c r="D816" s="307"/>
      <c r="E816" s="307"/>
      <c r="F816" s="307"/>
      <c r="G816" s="307"/>
      <c r="H816" s="307"/>
      <c r="I816" s="307"/>
      <c r="J816" s="307"/>
      <c r="K816" s="307"/>
      <c r="L816" s="307"/>
      <c r="M816" s="307"/>
    </row>
    <row r="817" spans="2:13">
      <c r="B817" s="505"/>
      <c r="C817" s="307"/>
      <c r="D817" s="307"/>
      <c r="E817" s="307"/>
      <c r="F817" s="307"/>
      <c r="G817" s="307"/>
      <c r="H817" s="307"/>
      <c r="I817" s="307"/>
      <c r="J817" s="307"/>
      <c r="K817" s="307"/>
      <c r="L817" s="307"/>
      <c r="M817" s="307"/>
    </row>
    <row r="818" spans="2:13">
      <c r="B818" s="505"/>
      <c r="C818" s="307"/>
      <c r="D818" s="307"/>
      <c r="E818" s="307"/>
      <c r="F818" s="307"/>
      <c r="G818" s="307"/>
      <c r="H818" s="307"/>
      <c r="I818" s="307"/>
      <c r="J818" s="307"/>
      <c r="K818" s="307"/>
      <c r="L818" s="307"/>
      <c r="M818" s="307"/>
    </row>
    <row r="819" spans="2:13">
      <c r="B819" s="505"/>
      <c r="C819" s="307"/>
      <c r="D819" s="307"/>
      <c r="E819" s="307"/>
      <c r="F819" s="307"/>
      <c r="G819" s="307"/>
      <c r="H819" s="307"/>
      <c r="I819" s="307"/>
      <c r="J819" s="307"/>
      <c r="K819" s="307"/>
      <c r="L819" s="307"/>
      <c r="M819" s="307"/>
    </row>
    <row r="820" spans="2:13">
      <c r="B820" s="505"/>
      <c r="C820" s="307"/>
      <c r="D820" s="307"/>
      <c r="E820" s="307"/>
      <c r="F820" s="307"/>
      <c r="G820" s="307"/>
      <c r="H820" s="307"/>
      <c r="I820" s="307"/>
      <c r="J820" s="307"/>
      <c r="K820" s="307"/>
      <c r="L820" s="307"/>
      <c r="M820" s="307"/>
    </row>
    <row r="821" spans="2:13">
      <c r="B821" s="505"/>
      <c r="C821" s="307"/>
      <c r="D821" s="307"/>
      <c r="E821" s="307"/>
      <c r="F821" s="307"/>
      <c r="G821" s="307"/>
      <c r="H821" s="307"/>
      <c r="I821" s="307"/>
      <c r="J821" s="307"/>
      <c r="K821" s="307"/>
      <c r="L821" s="307"/>
      <c r="M821" s="307"/>
    </row>
    <row r="822" spans="2:13">
      <c r="B822" s="505"/>
      <c r="C822" s="307"/>
      <c r="D822" s="307"/>
      <c r="E822" s="307"/>
      <c r="F822" s="307"/>
      <c r="G822" s="307"/>
      <c r="H822" s="307"/>
      <c r="I822" s="307"/>
      <c r="J822" s="307"/>
      <c r="K822" s="307"/>
      <c r="L822" s="307"/>
      <c r="M822" s="307"/>
    </row>
    <row r="823" spans="2:13">
      <c r="B823" s="505"/>
      <c r="C823" s="307"/>
      <c r="D823" s="307"/>
      <c r="E823" s="307"/>
      <c r="F823" s="307"/>
      <c r="G823" s="307"/>
      <c r="H823" s="307"/>
      <c r="I823" s="307"/>
      <c r="J823" s="307"/>
      <c r="K823" s="307"/>
      <c r="L823" s="307"/>
      <c r="M823" s="307"/>
    </row>
    <row r="824" spans="2:13">
      <c r="B824" s="505"/>
      <c r="C824" s="307"/>
      <c r="D824" s="307"/>
      <c r="E824" s="307"/>
      <c r="F824" s="307"/>
      <c r="G824" s="307"/>
      <c r="H824" s="307"/>
      <c r="I824" s="307"/>
      <c r="J824" s="307"/>
      <c r="K824" s="307"/>
      <c r="L824" s="307"/>
      <c r="M824" s="307"/>
    </row>
    <row r="825" spans="2:13">
      <c r="B825" s="505"/>
      <c r="C825" s="307"/>
      <c r="D825" s="307"/>
      <c r="E825" s="307"/>
      <c r="F825" s="307"/>
      <c r="G825" s="307"/>
      <c r="H825" s="307"/>
      <c r="I825" s="307"/>
      <c r="J825" s="307"/>
      <c r="K825" s="307"/>
      <c r="L825" s="307"/>
      <c r="M825" s="307"/>
    </row>
    <row r="826" spans="2:13">
      <c r="B826" s="505"/>
      <c r="C826" s="307"/>
      <c r="D826" s="307"/>
      <c r="E826" s="307"/>
      <c r="F826" s="307"/>
      <c r="G826" s="307"/>
      <c r="H826" s="307"/>
      <c r="I826" s="307"/>
      <c r="J826" s="307"/>
      <c r="K826" s="307"/>
      <c r="L826" s="307"/>
      <c r="M826" s="307"/>
    </row>
    <row r="827" spans="2:13">
      <c r="B827" s="505"/>
      <c r="C827" s="307"/>
      <c r="D827" s="307"/>
      <c r="E827" s="307"/>
      <c r="F827" s="307"/>
      <c r="G827" s="307"/>
      <c r="H827" s="307"/>
      <c r="I827" s="307"/>
      <c r="J827" s="307"/>
      <c r="K827" s="307"/>
      <c r="L827" s="307"/>
      <c r="M827" s="307"/>
    </row>
    <row r="828" spans="2:13">
      <c r="B828" s="505"/>
      <c r="C828" s="307"/>
      <c r="D828" s="307"/>
      <c r="E828" s="307"/>
      <c r="F828" s="307"/>
      <c r="G828" s="307"/>
      <c r="H828" s="307"/>
      <c r="I828" s="307"/>
      <c r="J828" s="307"/>
      <c r="K828" s="307"/>
      <c r="L828" s="307"/>
      <c r="M828" s="307"/>
    </row>
    <row r="829" spans="2:13">
      <c r="B829" s="505"/>
      <c r="C829" s="307"/>
      <c r="D829" s="307"/>
      <c r="E829" s="307"/>
      <c r="F829" s="307"/>
      <c r="G829" s="307"/>
      <c r="H829" s="307"/>
      <c r="I829" s="307"/>
      <c r="J829" s="307"/>
      <c r="K829" s="307"/>
      <c r="L829" s="307"/>
      <c r="M829" s="307"/>
    </row>
    <row r="830" spans="2:13">
      <c r="B830" s="505"/>
      <c r="C830" s="307"/>
      <c r="D830" s="307"/>
      <c r="E830" s="307"/>
      <c r="F830" s="307"/>
      <c r="G830" s="307"/>
      <c r="H830" s="307"/>
      <c r="I830" s="307"/>
      <c r="J830" s="307"/>
      <c r="K830" s="307"/>
      <c r="L830" s="307"/>
      <c r="M830" s="307"/>
    </row>
    <row r="831" spans="2:13">
      <c r="B831" s="505"/>
      <c r="C831" s="307"/>
      <c r="D831" s="307"/>
      <c r="E831" s="307"/>
      <c r="F831" s="307"/>
      <c r="G831" s="307"/>
      <c r="H831" s="307"/>
      <c r="I831" s="307"/>
      <c r="J831" s="307"/>
      <c r="K831" s="307"/>
      <c r="L831" s="307"/>
      <c r="M831" s="307"/>
    </row>
    <row r="832" spans="2:13">
      <c r="B832" s="505"/>
      <c r="C832" s="307"/>
      <c r="D832" s="307"/>
      <c r="E832" s="307"/>
      <c r="F832" s="307"/>
      <c r="G832" s="307"/>
      <c r="H832" s="307"/>
      <c r="I832" s="307"/>
      <c r="J832" s="307"/>
      <c r="K832" s="307"/>
      <c r="L832" s="307"/>
      <c r="M832" s="307"/>
    </row>
    <row r="833" spans="2:13">
      <c r="B833" s="505"/>
      <c r="C833" s="307"/>
      <c r="D833" s="307"/>
      <c r="E833" s="307"/>
      <c r="F833" s="307"/>
      <c r="G833" s="307"/>
      <c r="H833" s="307"/>
      <c r="I833" s="307"/>
      <c r="J833" s="307"/>
      <c r="K833" s="307"/>
      <c r="L833" s="307"/>
      <c r="M833" s="307"/>
    </row>
    <row r="834" spans="2:13">
      <c r="B834" s="505"/>
      <c r="C834" s="307"/>
      <c r="D834" s="307"/>
      <c r="E834" s="307"/>
      <c r="F834" s="307"/>
      <c r="G834" s="307"/>
      <c r="H834" s="307"/>
      <c r="I834" s="307"/>
      <c r="J834" s="307"/>
      <c r="K834" s="307"/>
      <c r="L834" s="307"/>
      <c r="M834" s="307"/>
    </row>
    <row r="835" spans="2:13">
      <c r="B835" s="505"/>
      <c r="C835" s="307"/>
      <c r="D835" s="307"/>
      <c r="E835" s="307"/>
      <c r="F835" s="307"/>
      <c r="G835" s="307"/>
      <c r="H835" s="307"/>
      <c r="I835" s="307"/>
      <c r="J835" s="307"/>
      <c r="K835" s="307"/>
      <c r="L835" s="307"/>
      <c r="M835" s="307"/>
    </row>
    <row r="836" spans="2:13">
      <c r="B836" s="505"/>
      <c r="C836" s="307"/>
      <c r="D836" s="307"/>
      <c r="E836" s="307"/>
      <c r="F836" s="307"/>
      <c r="G836" s="307"/>
      <c r="H836" s="307"/>
      <c r="I836" s="307"/>
      <c r="J836" s="307"/>
      <c r="K836" s="307"/>
      <c r="L836" s="307"/>
      <c r="M836" s="307"/>
    </row>
    <row r="837" spans="2:13">
      <c r="B837" s="505"/>
      <c r="C837" s="307"/>
      <c r="D837" s="307"/>
      <c r="E837" s="307"/>
      <c r="F837" s="307"/>
      <c r="G837" s="307"/>
      <c r="H837" s="307"/>
      <c r="I837" s="307"/>
      <c r="J837" s="307"/>
      <c r="K837" s="307"/>
      <c r="L837" s="307"/>
      <c r="M837" s="307"/>
    </row>
    <row r="838" spans="2:13">
      <c r="B838" s="505"/>
      <c r="C838" s="307"/>
      <c r="D838" s="307"/>
      <c r="E838" s="307"/>
      <c r="F838" s="307"/>
      <c r="G838" s="307"/>
      <c r="H838" s="307"/>
      <c r="I838" s="307"/>
      <c r="J838" s="307"/>
      <c r="K838" s="307"/>
      <c r="L838" s="307"/>
      <c r="M838" s="307"/>
    </row>
    <row r="839" spans="2:13">
      <c r="B839" s="505"/>
      <c r="C839" s="307"/>
      <c r="D839" s="307"/>
      <c r="E839" s="307"/>
      <c r="F839" s="307"/>
      <c r="G839" s="307"/>
      <c r="H839" s="307"/>
      <c r="I839" s="307"/>
      <c r="J839" s="307"/>
      <c r="K839" s="307"/>
      <c r="L839" s="307"/>
      <c r="M839" s="307"/>
    </row>
    <row r="840" spans="2:13">
      <c r="B840" s="505"/>
      <c r="C840" s="307"/>
      <c r="D840" s="307"/>
      <c r="E840" s="307"/>
      <c r="F840" s="307"/>
      <c r="G840" s="307"/>
      <c r="H840" s="307"/>
      <c r="I840" s="307"/>
      <c r="J840" s="307"/>
      <c r="K840" s="307"/>
      <c r="L840" s="307"/>
      <c r="M840" s="307"/>
    </row>
    <row r="841" spans="2:13">
      <c r="B841" s="505"/>
      <c r="C841" s="307"/>
      <c r="D841" s="307"/>
      <c r="E841" s="307"/>
      <c r="F841" s="307"/>
      <c r="G841" s="307"/>
      <c r="H841" s="307"/>
      <c r="I841" s="307"/>
      <c r="J841" s="307"/>
      <c r="K841" s="307"/>
      <c r="L841" s="307"/>
      <c r="M841" s="307"/>
    </row>
    <row r="842" spans="2:13">
      <c r="B842" s="505"/>
      <c r="C842" s="307"/>
      <c r="D842" s="307"/>
      <c r="E842" s="307"/>
      <c r="F842" s="307"/>
      <c r="G842" s="307"/>
      <c r="H842" s="307"/>
      <c r="I842" s="307"/>
      <c r="J842" s="307"/>
      <c r="K842" s="307"/>
      <c r="L842" s="307"/>
      <c r="M842" s="307"/>
    </row>
    <row r="843" spans="2:13">
      <c r="B843" s="505"/>
      <c r="C843" s="307"/>
      <c r="D843" s="307"/>
      <c r="E843" s="307"/>
      <c r="F843" s="307"/>
      <c r="G843" s="307"/>
      <c r="H843" s="307"/>
      <c r="I843" s="307"/>
      <c r="J843" s="307"/>
      <c r="K843" s="307"/>
      <c r="L843" s="307"/>
      <c r="M843" s="307"/>
    </row>
    <row r="844" spans="2:13">
      <c r="B844" s="505"/>
      <c r="C844" s="307"/>
      <c r="D844" s="307"/>
      <c r="E844" s="307"/>
      <c r="F844" s="307"/>
      <c r="G844" s="307"/>
      <c r="H844" s="307"/>
      <c r="I844" s="307"/>
      <c r="J844" s="307"/>
      <c r="K844" s="307"/>
      <c r="L844" s="307"/>
      <c r="M844" s="307"/>
    </row>
    <row r="845" spans="2:13">
      <c r="B845" s="505"/>
      <c r="C845" s="307"/>
      <c r="D845" s="307"/>
      <c r="E845" s="307"/>
      <c r="F845" s="307"/>
      <c r="G845" s="307"/>
      <c r="H845" s="307"/>
      <c r="I845" s="307"/>
      <c r="J845" s="307"/>
      <c r="K845" s="307"/>
      <c r="L845" s="307"/>
      <c r="M845" s="307"/>
    </row>
    <row r="846" spans="2:13">
      <c r="B846" s="505"/>
      <c r="C846" s="307"/>
      <c r="D846" s="307"/>
      <c r="E846" s="307"/>
      <c r="F846" s="307"/>
      <c r="G846" s="307"/>
      <c r="H846" s="307"/>
      <c r="I846" s="307"/>
      <c r="J846" s="307"/>
      <c r="K846" s="307"/>
      <c r="L846" s="307"/>
      <c r="M846" s="307"/>
    </row>
    <row r="847" spans="2:13">
      <c r="B847" s="505"/>
      <c r="C847" s="307"/>
      <c r="D847" s="307"/>
      <c r="E847" s="307"/>
      <c r="F847" s="307"/>
      <c r="G847" s="307"/>
      <c r="H847" s="307"/>
      <c r="I847" s="307"/>
      <c r="J847" s="307"/>
      <c r="K847" s="307"/>
      <c r="L847" s="307"/>
      <c r="M847" s="307"/>
    </row>
    <row r="848" spans="2:13">
      <c r="B848" s="505"/>
      <c r="C848" s="307"/>
      <c r="D848" s="307"/>
      <c r="E848" s="307"/>
      <c r="F848" s="307"/>
      <c r="G848" s="307"/>
      <c r="H848" s="307"/>
      <c r="I848" s="307"/>
      <c r="J848" s="307"/>
      <c r="K848" s="307"/>
      <c r="L848" s="307"/>
      <c r="M848" s="307"/>
    </row>
    <row r="849" spans="2:13">
      <c r="B849" s="505"/>
      <c r="C849" s="307"/>
      <c r="D849" s="307"/>
      <c r="E849" s="307"/>
      <c r="F849" s="307"/>
      <c r="G849" s="307"/>
      <c r="H849" s="307"/>
      <c r="I849" s="307"/>
      <c r="J849" s="307"/>
      <c r="K849" s="307"/>
      <c r="L849" s="307"/>
      <c r="M849" s="307"/>
    </row>
    <row r="850" spans="2:13">
      <c r="B850" s="505"/>
      <c r="C850" s="307"/>
      <c r="D850" s="307"/>
      <c r="E850" s="307"/>
      <c r="F850" s="307"/>
      <c r="G850" s="307"/>
      <c r="H850" s="307"/>
      <c r="I850" s="307"/>
      <c r="J850" s="307"/>
      <c r="K850" s="307"/>
      <c r="L850" s="307"/>
      <c r="M850" s="307"/>
    </row>
    <row r="851" spans="2:13">
      <c r="B851" s="505"/>
      <c r="C851" s="307"/>
      <c r="D851" s="307"/>
      <c r="E851" s="307"/>
      <c r="F851" s="307"/>
      <c r="G851" s="307"/>
      <c r="H851" s="307"/>
      <c r="I851" s="307"/>
      <c r="J851" s="307"/>
      <c r="K851" s="307"/>
      <c r="L851" s="307"/>
      <c r="M851" s="307"/>
    </row>
    <row r="852" spans="2:13">
      <c r="B852" s="505"/>
      <c r="C852" s="307"/>
      <c r="D852" s="307"/>
      <c r="E852" s="307"/>
      <c r="F852" s="307"/>
      <c r="G852" s="307"/>
      <c r="H852" s="307"/>
      <c r="I852" s="307"/>
      <c r="J852" s="307"/>
      <c r="K852" s="307"/>
      <c r="L852" s="307"/>
      <c r="M852" s="307"/>
    </row>
    <row r="853" spans="2:13">
      <c r="B853" s="505"/>
      <c r="C853" s="307"/>
      <c r="D853" s="307"/>
      <c r="E853" s="307"/>
      <c r="F853" s="307"/>
      <c r="G853" s="307"/>
      <c r="H853" s="307"/>
      <c r="I853" s="307"/>
      <c r="J853" s="307"/>
      <c r="K853" s="307"/>
      <c r="L853" s="307"/>
      <c r="M853" s="307"/>
    </row>
    <row r="854" spans="2:13">
      <c r="B854" s="505"/>
      <c r="C854" s="307"/>
      <c r="D854" s="307"/>
      <c r="E854" s="307"/>
      <c r="F854" s="307"/>
      <c r="G854" s="307"/>
      <c r="H854" s="307"/>
      <c r="I854" s="307"/>
      <c r="J854" s="307"/>
      <c r="K854" s="307"/>
      <c r="L854" s="307"/>
      <c r="M854" s="307"/>
    </row>
    <row r="855" spans="2:13">
      <c r="B855" s="505"/>
      <c r="C855" s="307"/>
      <c r="D855" s="307"/>
      <c r="E855" s="307"/>
      <c r="F855" s="307"/>
      <c r="G855" s="307"/>
      <c r="H855" s="307"/>
      <c r="I855" s="307"/>
      <c r="J855" s="307"/>
      <c r="K855" s="307"/>
      <c r="L855" s="307"/>
      <c r="M855" s="307"/>
    </row>
    <row r="856" spans="2:13">
      <c r="B856" s="505"/>
      <c r="C856" s="307"/>
      <c r="D856" s="307"/>
      <c r="E856" s="307"/>
      <c r="F856" s="307"/>
      <c r="G856" s="307"/>
      <c r="H856" s="307"/>
      <c r="I856" s="307"/>
      <c r="J856" s="307"/>
      <c r="K856" s="307"/>
      <c r="L856" s="307"/>
      <c r="M856" s="307"/>
    </row>
    <row r="857" spans="2:13">
      <c r="B857" s="505"/>
      <c r="C857" s="307"/>
      <c r="D857" s="307"/>
      <c r="E857" s="307"/>
      <c r="F857" s="307"/>
      <c r="G857" s="307"/>
      <c r="H857" s="307"/>
      <c r="I857" s="307"/>
      <c r="J857" s="307"/>
      <c r="K857" s="307"/>
      <c r="L857" s="307"/>
      <c r="M857" s="307"/>
    </row>
    <row r="858" spans="2:13">
      <c r="B858" s="505"/>
      <c r="C858" s="307"/>
      <c r="D858" s="307"/>
      <c r="E858" s="307"/>
      <c r="F858" s="307"/>
      <c r="G858" s="307"/>
      <c r="H858" s="307"/>
      <c r="I858" s="307"/>
      <c r="J858" s="307"/>
      <c r="K858" s="307"/>
      <c r="L858" s="307"/>
      <c r="M858" s="307"/>
    </row>
    <row r="859" spans="2:13">
      <c r="B859" s="505"/>
      <c r="C859" s="307"/>
      <c r="D859" s="307"/>
      <c r="E859" s="307"/>
      <c r="F859" s="307"/>
      <c r="G859" s="307"/>
      <c r="H859" s="307"/>
      <c r="I859" s="307"/>
      <c r="J859" s="307"/>
      <c r="K859" s="307"/>
      <c r="L859" s="307"/>
      <c r="M859" s="307"/>
    </row>
    <row r="860" spans="2:13">
      <c r="B860" s="505"/>
      <c r="C860" s="307"/>
      <c r="D860" s="307"/>
      <c r="E860" s="307"/>
      <c r="F860" s="307"/>
      <c r="G860" s="307"/>
      <c r="H860" s="307"/>
      <c r="I860" s="307"/>
      <c r="J860" s="307"/>
      <c r="K860" s="307"/>
      <c r="L860" s="307"/>
      <c r="M860" s="307"/>
    </row>
    <row r="861" spans="2:13">
      <c r="B861" s="505"/>
      <c r="C861" s="307"/>
      <c r="D861" s="307"/>
      <c r="E861" s="307"/>
      <c r="F861" s="307"/>
      <c r="G861" s="307"/>
      <c r="H861" s="307"/>
      <c r="I861" s="307"/>
      <c r="J861" s="307"/>
      <c r="K861" s="307"/>
      <c r="L861" s="307"/>
      <c r="M861" s="307"/>
    </row>
    <row r="862" spans="2:13">
      <c r="B862" s="505"/>
      <c r="C862" s="307"/>
      <c r="D862" s="307"/>
      <c r="E862" s="307"/>
      <c r="F862" s="307"/>
      <c r="G862" s="307"/>
      <c r="H862" s="307"/>
      <c r="I862" s="307"/>
      <c r="J862" s="307"/>
      <c r="K862" s="307"/>
      <c r="L862" s="307"/>
      <c r="M862" s="307"/>
    </row>
    <row r="863" spans="2:13">
      <c r="B863" s="505"/>
      <c r="C863" s="307"/>
      <c r="D863" s="307"/>
      <c r="E863" s="307"/>
      <c r="F863" s="307"/>
      <c r="G863" s="307"/>
      <c r="H863" s="307"/>
      <c r="I863" s="307"/>
      <c r="J863" s="307"/>
      <c r="K863" s="307"/>
      <c r="L863" s="307"/>
      <c r="M863" s="307"/>
    </row>
    <row r="864" spans="2:13">
      <c r="B864" s="505"/>
      <c r="C864" s="307"/>
      <c r="D864" s="307"/>
      <c r="E864" s="307"/>
      <c r="F864" s="307"/>
      <c r="G864" s="307"/>
      <c r="H864" s="307"/>
      <c r="I864" s="307"/>
      <c r="J864" s="307"/>
      <c r="K864" s="307"/>
      <c r="L864" s="307"/>
      <c r="M864" s="307"/>
    </row>
    <row r="865" spans="2:13">
      <c r="B865" s="505"/>
      <c r="C865" s="307"/>
      <c r="D865" s="307"/>
      <c r="E865" s="307"/>
      <c r="F865" s="307"/>
      <c r="G865" s="307"/>
      <c r="H865" s="307"/>
      <c r="I865" s="307"/>
      <c r="J865" s="307"/>
      <c r="K865" s="307"/>
      <c r="L865" s="307"/>
      <c r="M865" s="307"/>
    </row>
    <row r="866" spans="2:13">
      <c r="B866" s="505"/>
      <c r="C866" s="307"/>
      <c r="D866" s="307"/>
      <c r="E866" s="307"/>
      <c r="F866" s="307"/>
      <c r="G866" s="307"/>
      <c r="H866" s="307"/>
      <c r="I866" s="307"/>
      <c r="J866" s="307"/>
      <c r="K866" s="307"/>
      <c r="L866" s="307"/>
      <c r="M866" s="307"/>
    </row>
    <row r="867" spans="2:13">
      <c r="B867" s="505"/>
      <c r="C867" s="307"/>
      <c r="D867" s="307"/>
      <c r="E867" s="307"/>
      <c r="F867" s="307"/>
      <c r="G867" s="307"/>
      <c r="H867" s="307"/>
      <c r="I867" s="307"/>
      <c r="J867" s="307"/>
      <c r="K867" s="307"/>
      <c r="L867" s="307"/>
      <c r="M867" s="307"/>
    </row>
    <row r="868" spans="2:13">
      <c r="B868" s="505"/>
      <c r="C868" s="307"/>
      <c r="D868" s="307"/>
      <c r="E868" s="307"/>
      <c r="F868" s="307"/>
      <c r="G868" s="307"/>
      <c r="H868" s="307"/>
      <c r="I868" s="307"/>
      <c r="J868" s="307"/>
      <c r="K868" s="307"/>
      <c r="L868" s="307"/>
      <c r="M868" s="307"/>
    </row>
    <row r="869" spans="2:13">
      <c r="B869" s="505"/>
      <c r="C869" s="307"/>
      <c r="D869" s="307"/>
      <c r="E869" s="307"/>
      <c r="F869" s="307"/>
      <c r="G869" s="307"/>
      <c r="H869" s="307"/>
      <c r="I869" s="307"/>
      <c r="J869" s="307"/>
      <c r="K869" s="307"/>
      <c r="L869" s="307"/>
      <c r="M869" s="307"/>
    </row>
    <row r="870" spans="2:13">
      <c r="B870" s="505"/>
      <c r="C870" s="307"/>
      <c r="D870" s="307"/>
      <c r="E870" s="307"/>
      <c r="F870" s="307"/>
      <c r="G870" s="307"/>
      <c r="H870" s="307"/>
      <c r="I870" s="307"/>
      <c r="J870" s="307"/>
      <c r="K870" s="307"/>
      <c r="L870" s="307"/>
      <c r="M870" s="307"/>
    </row>
    <row r="871" spans="2:13">
      <c r="B871" s="505"/>
      <c r="C871" s="307"/>
      <c r="D871" s="307"/>
      <c r="E871" s="307"/>
      <c r="F871" s="307"/>
      <c r="G871" s="307"/>
      <c r="H871" s="307"/>
      <c r="I871" s="307"/>
      <c r="J871" s="307"/>
      <c r="K871" s="307"/>
      <c r="L871" s="307"/>
      <c r="M871" s="307"/>
    </row>
    <row r="872" spans="2:13">
      <c r="B872" s="505"/>
      <c r="C872" s="307"/>
      <c r="D872" s="307"/>
      <c r="E872" s="307"/>
      <c r="F872" s="307"/>
      <c r="G872" s="307"/>
      <c r="H872" s="307"/>
      <c r="I872" s="307"/>
      <c r="J872" s="307"/>
      <c r="K872" s="307"/>
      <c r="L872" s="307"/>
      <c r="M872" s="307"/>
    </row>
    <row r="873" spans="2:13">
      <c r="B873" s="505"/>
      <c r="C873" s="307"/>
      <c r="D873" s="307"/>
      <c r="E873" s="307"/>
      <c r="F873" s="307"/>
      <c r="G873" s="307"/>
      <c r="H873" s="307"/>
      <c r="I873" s="307"/>
      <c r="J873" s="307"/>
      <c r="K873" s="307"/>
      <c r="L873" s="307"/>
      <c r="M873" s="307"/>
    </row>
    <row r="874" spans="2:13">
      <c r="B874" s="505"/>
      <c r="C874" s="307"/>
      <c r="D874" s="307"/>
      <c r="E874" s="307"/>
      <c r="F874" s="307"/>
      <c r="G874" s="307"/>
      <c r="H874" s="307"/>
      <c r="I874" s="307"/>
      <c r="J874" s="307"/>
      <c r="K874" s="307"/>
      <c r="L874" s="307"/>
      <c r="M874" s="307"/>
    </row>
    <row r="875" spans="2:13">
      <c r="B875" s="505"/>
      <c r="C875" s="307"/>
      <c r="D875" s="307"/>
      <c r="E875" s="307"/>
      <c r="F875" s="307"/>
      <c r="G875" s="307"/>
      <c r="H875" s="307"/>
      <c r="I875" s="307"/>
      <c r="J875" s="307"/>
      <c r="K875" s="307"/>
      <c r="L875" s="307"/>
      <c r="M875" s="307"/>
    </row>
    <row r="876" spans="2:13">
      <c r="B876" s="505"/>
      <c r="C876" s="307"/>
      <c r="D876" s="307"/>
      <c r="E876" s="307"/>
      <c r="F876" s="307"/>
      <c r="G876" s="307"/>
      <c r="H876" s="307"/>
      <c r="I876" s="307"/>
      <c r="J876" s="307"/>
      <c r="K876" s="307"/>
      <c r="L876" s="307"/>
      <c r="M876" s="307"/>
    </row>
    <row r="877" spans="2:13">
      <c r="B877" s="505"/>
      <c r="C877" s="307"/>
      <c r="D877" s="307"/>
      <c r="E877" s="307"/>
      <c r="F877" s="307"/>
      <c r="G877" s="307"/>
      <c r="H877" s="307"/>
      <c r="I877" s="307"/>
      <c r="J877" s="307"/>
      <c r="K877" s="307"/>
      <c r="L877" s="307"/>
      <c r="M877" s="307"/>
    </row>
    <row r="878" spans="2:13">
      <c r="B878" s="505"/>
      <c r="C878" s="307"/>
      <c r="D878" s="307"/>
      <c r="E878" s="307"/>
      <c r="F878" s="307"/>
      <c r="G878" s="307"/>
      <c r="H878" s="307"/>
      <c r="I878" s="307"/>
      <c r="J878" s="307"/>
      <c r="K878" s="307"/>
      <c r="L878" s="307"/>
      <c r="M878" s="307"/>
    </row>
    <row r="879" spans="2:13">
      <c r="B879" s="505"/>
      <c r="C879" s="307"/>
      <c r="D879" s="307"/>
      <c r="E879" s="307"/>
      <c r="F879" s="307"/>
      <c r="G879" s="307"/>
      <c r="H879" s="307"/>
      <c r="I879" s="307"/>
      <c r="J879" s="307"/>
      <c r="K879" s="307"/>
      <c r="L879" s="307"/>
      <c r="M879" s="307"/>
    </row>
    <row r="880" spans="2:13">
      <c r="B880" s="505"/>
      <c r="C880" s="307"/>
      <c r="D880" s="307"/>
      <c r="E880" s="307"/>
      <c r="F880" s="307"/>
      <c r="G880" s="307"/>
      <c r="H880" s="307"/>
      <c r="I880" s="307"/>
      <c r="J880" s="307"/>
      <c r="K880" s="307"/>
      <c r="L880" s="307"/>
      <c r="M880" s="307"/>
    </row>
    <row r="881" spans="2:13">
      <c r="B881" s="505"/>
      <c r="C881" s="307"/>
      <c r="D881" s="307"/>
      <c r="E881" s="307"/>
      <c r="F881" s="307"/>
      <c r="G881" s="307"/>
      <c r="H881" s="307"/>
      <c r="I881" s="307"/>
      <c r="J881" s="307"/>
      <c r="K881" s="307"/>
      <c r="L881" s="307"/>
      <c r="M881" s="307"/>
    </row>
    <row r="882" spans="2:13">
      <c r="B882" s="505"/>
      <c r="C882" s="307"/>
      <c r="D882" s="307"/>
      <c r="E882" s="307"/>
      <c r="F882" s="307"/>
      <c r="G882" s="307"/>
      <c r="H882" s="307"/>
      <c r="I882" s="307"/>
      <c r="J882" s="307"/>
      <c r="K882" s="307"/>
      <c r="L882" s="307"/>
      <c r="M882" s="307"/>
    </row>
    <row r="883" spans="2:13">
      <c r="B883" s="505"/>
      <c r="C883" s="307"/>
      <c r="D883" s="307"/>
      <c r="E883" s="307"/>
      <c r="F883" s="307"/>
      <c r="G883" s="307"/>
      <c r="H883" s="307"/>
      <c r="I883" s="307"/>
      <c r="J883" s="307"/>
      <c r="K883" s="307"/>
      <c r="L883" s="307"/>
      <c r="M883" s="307"/>
    </row>
    <row r="884" spans="2:13">
      <c r="B884" s="505"/>
      <c r="C884" s="307"/>
      <c r="D884" s="307"/>
      <c r="E884" s="307"/>
      <c r="F884" s="307"/>
      <c r="G884" s="307"/>
      <c r="H884" s="307"/>
      <c r="I884" s="307"/>
      <c r="J884" s="307"/>
      <c r="K884" s="307"/>
      <c r="L884" s="307"/>
      <c r="M884" s="307"/>
    </row>
    <row r="885" spans="2:13">
      <c r="B885" s="505"/>
      <c r="C885" s="307"/>
      <c r="D885" s="307"/>
      <c r="E885" s="307"/>
      <c r="F885" s="307"/>
      <c r="G885" s="307"/>
      <c r="H885" s="307"/>
      <c r="I885" s="307"/>
      <c r="J885" s="307"/>
      <c r="K885" s="307"/>
      <c r="L885" s="307"/>
      <c r="M885" s="307"/>
    </row>
    <row r="886" spans="2:13">
      <c r="B886" s="505"/>
      <c r="C886" s="307"/>
      <c r="D886" s="307"/>
      <c r="E886" s="307"/>
      <c r="F886" s="307"/>
      <c r="G886" s="307"/>
      <c r="H886" s="307"/>
      <c r="I886" s="307"/>
      <c r="J886" s="307"/>
      <c r="K886" s="307"/>
      <c r="L886" s="307"/>
      <c r="M886" s="307"/>
    </row>
    <row r="887" spans="2:13">
      <c r="B887" s="505"/>
      <c r="C887" s="307"/>
      <c r="D887" s="307"/>
      <c r="E887" s="307"/>
      <c r="F887" s="307"/>
      <c r="G887" s="307"/>
      <c r="H887" s="307"/>
      <c r="I887" s="307"/>
      <c r="J887" s="307"/>
      <c r="K887" s="307"/>
      <c r="L887" s="307"/>
      <c r="M887" s="307"/>
    </row>
    <row r="888" spans="2:13">
      <c r="B888" s="505"/>
      <c r="C888" s="307"/>
      <c r="D888" s="307"/>
      <c r="E888" s="307"/>
      <c r="F888" s="307"/>
      <c r="G888" s="307"/>
      <c r="H888" s="307"/>
      <c r="I888" s="307"/>
      <c r="J888" s="307"/>
      <c r="K888" s="307"/>
      <c r="L888" s="307"/>
      <c r="M888" s="307"/>
    </row>
    <row r="889" spans="2:13">
      <c r="B889" s="505"/>
      <c r="C889" s="307"/>
      <c r="D889" s="307"/>
      <c r="E889" s="307"/>
      <c r="F889" s="307"/>
      <c r="G889" s="307"/>
      <c r="H889" s="307"/>
      <c r="I889" s="307"/>
      <c r="J889" s="307"/>
      <c r="K889" s="307"/>
      <c r="L889" s="307"/>
      <c r="M889" s="307"/>
    </row>
    <row r="890" spans="2:13">
      <c r="B890" s="505"/>
      <c r="C890" s="307"/>
      <c r="D890" s="307"/>
      <c r="E890" s="307"/>
      <c r="F890" s="307"/>
      <c r="G890" s="307"/>
      <c r="H890" s="307"/>
      <c r="I890" s="307"/>
      <c r="J890" s="307"/>
      <c r="K890" s="307"/>
      <c r="L890" s="307"/>
      <c r="M890" s="307"/>
    </row>
    <row r="891" spans="2:13">
      <c r="B891" s="505"/>
      <c r="C891" s="307"/>
      <c r="D891" s="307"/>
      <c r="E891" s="307"/>
      <c r="F891" s="307"/>
      <c r="G891" s="307"/>
      <c r="H891" s="307"/>
      <c r="I891" s="307"/>
      <c r="J891" s="307"/>
      <c r="K891" s="307"/>
      <c r="L891" s="307"/>
      <c r="M891" s="307"/>
    </row>
    <row r="892" spans="2:13">
      <c r="B892" s="505"/>
      <c r="C892" s="307"/>
      <c r="D892" s="307"/>
      <c r="E892" s="307"/>
      <c r="F892" s="307"/>
      <c r="G892" s="307"/>
      <c r="H892" s="307"/>
      <c r="I892" s="307"/>
      <c r="J892" s="307"/>
      <c r="K892" s="307"/>
      <c r="L892" s="307"/>
      <c r="M892" s="307"/>
    </row>
    <row r="893" spans="2:13">
      <c r="B893" s="505"/>
      <c r="C893" s="307"/>
      <c r="D893" s="307"/>
      <c r="E893" s="307"/>
      <c r="F893" s="307"/>
      <c r="G893" s="307"/>
      <c r="H893" s="307"/>
      <c r="I893" s="307"/>
      <c r="J893" s="307"/>
      <c r="K893" s="307"/>
      <c r="L893" s="307"/>
      <c r="M893" s="307"/>
    </row>
    <row r="894" spans="2:13">
      <c r="B894" s="505"/>
      <c r="C894" s="307"/>
      <c r="D894" s="307"/>
      <c r="E894" s="307"/>
      <c r="F894" s="307"/>
      <c r="G894" s="307"/>
      <c r="H894" s="307"/>
      <c r="I894" s="307"/>
      <c r="J894" s="307"/>
      <c r="K894" s="307"/>
      <c r="L894" s="307"/>
      <c r="M894" s="307"/>
    </row>
    <row r="895" spans="2:13">
      <c r="B895" s="505"/>
      <c r="C895" s="307"/>
      <c r="D895" s="307"/>
      <c r="E895" s="307"/>
      <c r="F895" s="307"/>
      <c r="G895" s="307"/>
      <c r="H895" s="307"/>
      <c r="I895" s="307"/>
      <c r="J895" s="307"/>
      <c r="K895" s="307"/>
      <c r="L895" s="307"/>
      <c r="M895" s="307"/>
    </row>
    <row r="896" spans="2:13">
      <c r="B896" s="505"/>
      <c r="C896" s="307"/>
      <c r="D896" s="307"/>
      <c r="E896" s="307"/>
      <c r="F896" s="307"/>
      <c r="G896" s="307"/>
      <c r="H896" s="307"/>
      <c r="I896" s="307"/>
      <c r="J896" s="307"/>
      <c r="K896" s="307"/>
      <c r="L896" s="307"/>
      <c r="M896" s="307"/>
    </row>
    <row r="897" spans="2:13">
      <c r="B897" s="505"/>
      <c r="C897" s="307"/>
      <c r="D897" s="307"/>
      <c r="E897" s="307"/>
      <c r="F897" s="307"/>
      <c r="G897" s="307"/>
      <c r="H897" s="307"/>
      <c r="I897" s="307"/>
      <c r="J897" s="307"/>
      <c r="K897" s="307"/>
      <c r="L897" s="307"/>
      <c r="M897" s="307"/>
    </row>
    <row r="898" spans="2:13">
      <c r="B898" s="505"/>
      <c r="C898" s="307"/>
      <c r="D898" s="307"/>
      <c r="E898" s="307"/>
      <c r="F898" s="307"/>
      <c r="G898" s="307"/>
      <c r="H898" s="307"/>
      <c r="I898" s="307"/>
      <c r="J898" s="307"/>
      <c r="K898" s="307"/>
      <c r="L898" s="307"/>
      <c r="M898" s="307"/>
    </row>
    <row r="899" spans="2:13">
      <c r="B899" s="505"/>
      <c r="C899" s="307"/>
      <c r="D899" s="307"/>
      <c r="E899" s="307"/>
      <c r="F899" s="307"/>
      <c r="G899" s="307"/>
      <c r="H899" s="307"/>
      <c r="I899" s="307"/>
      <c r="J899" s="307"/>
      <c r="K899" s="307"/>
      <c r="L899" s="307"/>
      <c r="M899" s="307"/>
    </row>
    <row r="900" spans="2:13">
      <c r="B900" s="505"/>
      <c r="C900" s="307"/>
      <c r="D900" s="307"/>
      <c r="E900" s="307"/>
      <c r="F900" s="307"/>
      <c r="G900" s="307"/>
      <c r="H900" s="307"/>
      <c r="I900" s="307"/>
      <c r="J900" s="307"/>
      <c r="K900" s="307"/>
      <c r="L900" s="307"/>
      <c r="M900" s="307"/>
    </row>
    <row r="901" spans="2:13">
      <c r="B901" s="505"/>
      <c r="C901" s="307"/>
      <c r="D901" s="307"/>
      <c r="E901" s="307"/>
      <c r="F901" s="307"/>
      <c r="G901" s="307"/>
      <c r="H901" s="307"/>
      <c r="I901" s="307"/>
      <c r="J901" s="307"/>
      <c r="K901" s="307"/>
      <c r="L901" s="307"/>
      <c r="M901" s="307"/>
    </row>
    <row r="902" spans="2:13">
      <c r="B902" s="505"/>
      <c r="C902" s="307"/>
      <c r="D902" s="307"/>
      <c r="E902" s="307"/>
      <c r="F902" s="307"/>
      <c r="G902" s="307"/>
      <c r="H902" s="307"/>
      <c r="I902" s="307"/>
      <c r="J902" s="307"/>
      <c r="K902" s="307"/>
      <c r="L902" s="307"/>
      <c r="M902" s="307"/>
    </row>
    <row r="903" spans="2:13">
      <c r="B903" s="505"/>
      <c r="C903" s="307"/>
      <c r="D903" s="307"/>
      <c r="E903" s="307"/>
      <c r="F903" s="307"/>
      <c r="G903" s="307"/>
      <c r="H903" s="307"/>
      <c r="I903" s="307"/>
      <c r="J903" s="307"/>
      <c r="K903" s="307"/>
      <c r="L903" s="307"/>
      <c r="M903" s="307"/>
    </row>
    <row r="904" spans="2:13">
      <c r="B904" s="505"/>
      <c r="C904" s="307"/>
      <c r="D904" s="307"/>
      <c r="E904" s="307"/>
      <c r="F904" s="307"/>
      <c r="G904" s="307"/>
      <c r="H904" s="307"/>
      <c r="I904" s="307"/>
      <c r="J904" s="307"/>
      <c r="K904" s="307"/>
      <c r="L904" s="307"/>
      <c r="M904" s="307"/>
    </row>
    <row r="905" spans="2:13">
      <c r="B905" s="505"/>
      <c r="C905" s="307"/>
      <c r="D905" s="307"/>
      <c r="E905" s="307"/>
      <c r="F905" s="307"/>
      <c r="G905" s="307"/>
      <c r="H905" s="307"/>
      <c r="I905" s="307"/>
      <c r="J905" s="307"/>
      <c r="K905" s="307"/>
      <c r="L905" s="307"/>
      <c r="M905" s="307"/>
    </row>
    <row r="906" spans="2:13">
      <c r="B906" s="505"/>
      <c r="C906" s="307"/>
      <c r="D906" s="307"/>
      <c r="E906" s="307"/>
      <c r="F906" s="307"/>
      <c r="G906" s="307"/>
      <c r="H906" s="307"/>
      <c r="I906" s="307"/>
      <c r="J906" s="307"/>
      <c r="K906" s="307"/>
      <c r="L906" s="307"/>
      <c r="M906" s="307"/>
    </row>
    <row r="907" spans="2:13">
      <c r="B907" s="505"/>
      <c r="C907" s="307"/>
      <c r="D907" s="307"/>
      <c r="E907" s="307"/>
      <c r="F907" s="307"/>
      <c r="G907" s="307"/>
      <c r="H907" s="307"/>
      <c r="I907" s="307"/>
      <c r="J907" s="307"/>
      <c r="K907" s="307"/>
      <c r="L907" s="307"/>
      <c r="M907" s="307"/>
    </row>
    <row r="908" spans="2:13">
      <c r="B908" s="505"/>
      <c r="C908" s="307"/>
      <c r="D908" s="307"/>
      <c r="E908" s="307"/>
      <c r="F908" s="307"/>
      <c r="G908" s="307"/>
      <c r="H908" s="307"/>
      <c r="I908" s="307"/>
      <c r="J908" s="307"/>
      <c r="K908" s="307"/>
      <c r="L908" s="307"/>
      <c r="M908" s="307"/>
    </row>
    <row r="909" spans="2:13">
      <c r="B909" s="505"/>
      <c r="C909" s="307"/>
      <c r="D909" s="307"/>
      <c r="E909" s="307"/>
      <c r="F909" s="307"/>
      <c r="G909" s="307"/>
      <c r="H909" s="307"/>
      <c r="I909" s="307"/>
      <c r="J909" s="307"/>
      <c r="K909" s="307"/>
      <c r="L909" s="307"/>
      <c r="M909" s="307"/>
    </row>
    <row r="910" spans="2:13">
      <c r="B910" s="505"/>
      <c r="C910" s="307"/>
      <c r="D910" s="307"/>
      <c r="E910" s="307"/>
      <c r="F910" s="307"/>
      <c r="G910" s="307"/>
      <c r="H910" s="307"/>
      <c r="I910" s="307"/>
      <c r="J910" s="307"/>
      <c r="K910" s="307"/>
      <c r="L910" s="307"/>
      <c r="M910" s="307"/>
    </row>
    <row r="911" spans="2:13">
      <c r="B911" s="505"/>
      <c r="C911" s="307"/>
      <c r="D911" s="307"/>
      <c r="E911" s="307"/>
      <c r="F911" s="307"/>
      <c r="G911" s="307"/>
      <c r="H911" s="307"/>
      <c r="I911" s="307"/>
      <c r="J911" s="307"/>
      <c r="K911" s="307"/>
      <c r="L911" s="307"/>
      <c r="M911" s="307"/>
    </row>
    <row r="912" spans="2:13">
      <c r="B912" s="505"/>
      <c r="C912" s="307"/>
      <c r="D912" s="307"/>
      <c r="E912" s="307"/>
      <c r="F912" s="307"/>
      <c r="G912" s="307"/>
      <c r="H912" s="307"/>
      <c r="I912" s="307"/>
      <c r="J912" s="307"/>
      <c r="K912" s="307"/>
      <c r="L912" s="307"/>
      <c r="M912" s="307"/>
    </row>
    <row r="913" spans="2:13">
      <c r="B913" s="505"/>
      <c r="C913" s="307"/>
      <c r="D913" s="307"/>
      <c r="E913" s="307"/>
      <c r="F913" s="307"/>
      <c r="G913" s="307"/>
      <c r="H913" s="307"/>
      <c r="I913" s="307"/>
      <c r="J913" s="307"/>
      <c r="K913" s="307"/>
      <c r="L913" s="307"/>
      <c r="M913" s="307"/>
    </row>
    <row r="914" spans="2:13">
      <c r="B914" s="505"/>
      <c r="C914" s="307"/>
      <c r="D914" s="307"/>
      <c r="E914" s="307"/>
      <c r="F914" s="307"/>
      <c r="G914" s="307"/>
      <c r="H914" s="307"/>
      <c r="I914" s="307"/>
      <c r="J914" s="307"/>
      <c r="K914" s="307"/>
      <c r="L914" s="307"/>
      <c r="M914" s="307"/>
    </row>
    <row r="915" spans="2:13">
      <c r="B915" s="505"/>
      <c r="C915" s="307"/>
      <c r="D915" s="307"/>
      <c r="E915" s="307"/>
      <c r="F915" s="307"/>
      <c r="G915" s="307"/>
      <c r="H915" s="307"/>
      <c r="I915" s="307"/>
      <c r="J915" s="307"/>
      <c r="K915" s="307"/>
      <c r="L915" s="307"/>
      <c r="M915" s="307"/>
    </row>
    <row r="916" spans="2:13">
      <c r="B916" s="505"/>
      <c r="C916" s="307"/>
      <c r="D916" s="307"/>
      <c r="E916" s="307"/>
      <c r="F916" s="307"/>
      <c r="G916" s="307"/>
      <c r="H916" s="307"/>
      <c r="I916" s="307"/>
      <c r="J916" s="307"/>
      <c r="K916" s="307"/>
      <c r="L916" s="307"/>
      <c r="M916" s="307"/>
    </row>
    <row r="917" spans="2:13">
      <c r="B917" s="505"/>
      <c r="C917" s="307"/>
      <c r="D917" s="307"/>
      <c r="E917" s="307"/>
      <c r="F917" s="307"/>
      <c r="G917" s="307"/>
      <c r="H917" s="307"/>
      <c r="I917" s="307"/>
      <c r="J917" s="307"/>
      <c r="K917" s="307"/>
      <c r="L917" s="307"/>
      <c r="M917" s="307"/>
    </row>
    <row r="918" spans="2:13">
      <c r="B918" s="505"/>
      <c r="C918" s="307"/>
      <c r="D918" s="307"/>
      <c r="E918" s="307"/>
      <c r="F918" s="307"/>
      <c r="G918" s="307"/>
      <c r="H918" s="307"/>
      <c r="I918" s="307"/>
      <c r="J918" s="307"/>
      <c r="K918" s="307"/>
      <c r="L918" s="307"/>
      <c r="M918" s="307"/>
    </row>
    <row r="919" spans="2:13">
      <c r="B919" s="505"/>
      <c r="C919" s="307"/>
      <c r="D919" s="307"/>
      <c r="E919" s="307"/>
      <c r="F919" s="307"/>
      <c r="G919" s="307"/>
      <c r="H919" s="307"/>
      <c r="I919" s="307"/>
      <c r="J919" s="307"/>
      <c r="K919" s="307"/>
      <c r="L919" s="307"/>
      <c r="M919" s="307"/>
    </row>
    <row r="920" spans="2:13">
      <c r="B920" s="505"/>
      <c r="C920" s="307"/>
      <c r="D920" s="307"/>
      <c r="E920" s="307"/>
      <c r="F920" s="307"/>
      <c r="G920" s="307"/>
      <c r="H920" s="307"/>
      <c r="I920" s="307"/>
      <c r="J920" s="307"/>
      <c r="K920" s="307"/>
      <c r="L920" s="307"/>
      <c r="M920" s="307"/>
    </row>
    <row r="921" spans="2:13">
      <c r="B921" s="505"/>
      <c r="C921" s="307"/>
      <c r="D921" s="307"/>
      <c r="E921" s="307"/>
      <c r="F921" s="307"/>
      <c r="G921" s="307"/>
      <c r="H921" s="307"/>
      <c r="I921" s="307"/>
      <c r="J921" s="307"/>
      <c r="K921" s="307"/>
      <c r="L921" s="307"/>
      <c r="M921" s="307"/>
    </row>
    <row r="922" spans="2:13">
      <c r="B922" s="505"/>
      <c r="C922" s="307"/>
      <c r="D922" s="307"/>
      <c r="E922" s="307"/>
      <c r="F922" s="307"/>
      <c r="G922" s="307"/>
      <c r="H922" s="307"/>
      <c r="I922" s="307"/>
      <c r="J922" s="307"/>
      <c r="K922" s="307"/>
      <c r="L922" s="307"/>
      <c r="M922" s="307"/>
    </row>
    <row r="923" spans="2:13">
      <c r="B923" s="505"/>
      <c r="C923" s="307"/>
      <c r="D923" s="307"/>
      <c r="E923" s="307"/>
      <c r="F923" s="307"/>
      <c r="G923" s="307"/>
      <c r="H923" s="307"/>
      <c r="I923" s="307"/>
      <c r="J923" s="307"/>
      <c r="K923" s="307"/>
      <c r="L923" s="307"/>
      <c r="M923" s="307"/>
    </row>
    <row r="924" spans="2:13">
      <c r="B924" s="505"/>
      <c r="C924" s="307"/>
      <c r="D924" s="307"/>
      <c r="E924" s="307"/>
      <c r="F924" s="307"/>
      <c r="G924" s="307"/>
      <c r="H924" s="307"/>
      <c r="I924" s="307"/>
      <c r="J924" s="307"/>
      <c r="K924" s="307"/>
      <c r="L924" s="307"/>
      <c r="M924" s="307"/>
    </row>
    <row r="925" spans="2:13">
      <c r="B925" s="505"/>
      <c r="C925" s="307"/>
      <c r="D925" s="307"/>
      <c r="E925" s="307"/>
      <c r="F925" s="307"/>
      <c r="G925" s="307"/>
      <c r="H925" s="307"/>
      <c r="I925" s="307"/>
      <c r="J925" s="307"/>
      <c r="K925" s="307"/>
      <c r="L925" s="307"/>
      <c r="M925" s="307"/>
    </row>
    <row r="926" spans="2:13">
      <c r="B926" s="505"/>
      <c r="C926" s="307"/>
      <c r="D926" s="307"/>
      <c r="E926" s="307"/>
      <c r="F926" s="307"/>
      <c r="G926" s="307"/>
      <c r="H926" s="307"/>
      <c r="I926" s="307"/>
      <c r="J926" s="307"/>
      <c r="K926" s="307"/>
      <c r="L926" s="307"/>
      <c r="M926" s="307"/>
    </row>
    <row r="927" spans="2:13">
      <c r="B927" s="505"/>
      <c r="C927" s="307"/>
      <c r="D927" s="307"/>
      <c r="E927" s="307"/>
      <c r="F927" s="307"/>
      <c r="G927" s="307"/>
      <c r="H927" s="307"/>
      <c r="I927" s="307"/>
      <c r="J927" s="307"/>
      <c r="K927" s="307"/>
      <c r="L927" s="307"/>
      <c r="M927" s="307"/>
    </row>
    <row r="928" spans="2:13">
      <c r="B928" s="505"/>
      <c r="C928" s="307"/>
      <c r="D928" s="307"/>
      <c r="E928" s="307"/>
      <c r="F928" s="307"/>
      <c r="G928" s="307"/>
      <c r="H928" s="307"/>
      <c r="I928" s="307"/>
      <c r="J928" s="307"/>
      <c r="K928" s="307"/>
      <c r="L928" s="307"/>
      <c r="M928" s="307"/>
    </row>
    <row r="929" spans="2:13">
      <c r="B929" s="505"/>
      <c r="C929" s="307"/>
      <c r="D929" s="307"/>
      <c r="E929" s="307"/>
      <c r="F929" s="307"/>
      <c r="G929" s="307"/>
      <c r="H929" s="307"/>
      <c r="I929" s="307"/>
      <c r="J929" s="307"/>
      <c r="K929" s="307"/>
      <c r="L929" s="307"/>
      <c r="M929" s="307"/>
    </row>
    <row r="930" spans="2:13">
      <c r="B930" s="505"/>
      <c r="C930" s="307"/>
      <c r="D930" s="307"/>
      <c r="E930" s="307"/>
      <c r="F930" s="307"/>
      <c r="G930" s="307"/>
      <c r="H930" s="307"/>
      <c r="I930" s="307"/>
      <c r="J930" s="307"/>
      <c r="K930" s="307"/>
      <c r="L930" s="307"/>
      <c r="M930" s="307"/>
    </row>
    <row r="931" spans="2:13">
      <c r="B931" s="505"/>
      <c r="C931" s="307"/>
      <c r="D931" s="307"/>
      <c r="E931" s="307"/>
      <c r="F931" s="307"/>
      <c r="G931" s="307"/>
      <c r="H931" s="307"/>
      <c r="I931" s="307"/>
      <c r="J931" s="307"/>
      <c r="K931" s="307"/>
      <c r="L931" s="307"/>
      <c r="M931" s="307"/>
    </row>
    <row r="932" spans="2:13">
      <c r="B932" s="505"/>
      <c r="C932" s="307"/>
      <c r="D932" s="307"/>
      <c r="E932" s="307"/>
      <c r="F932" s="307"/>
      <c r="G932" s="307"/>
      <c r="H932" s="307"/>
      <c r="I932" s="307"/>
      <c r="J932" s="307"/>
      <c r="K932" s="307"/>
      <c r="L932" s="307"/>
      <c r="M932" s="307"/>
    </row>
    <row r="933" spans="2:13">
      <c r="B933" s="505"/>
      <c r="C933" s="307"/>
      <c r="D933" s="307"/>
      <c r="E933" s="307"/>
      <c r="F933" s="307"/>
      <c r="G933" s="307"/>
      <c r="H933" s="307"/>
      <c r="I933" s="307"/>
      <c r="J933" s="307"/>
      <c r="K933" s="307"/>
      <c r="L933" s="307"/>
      <c r="M933" s="307"/>
    </row>
    <row r="934" spans="2:13">
      <c r="B934" s="505"/>
      <c r="C934" s="307"/>
      <c r="D934" s="307"/>
      <c r="E934" s="307"/>
      <c r="F934" s="307"/>
      <c r="G934" s="307"/>
      <c r="H934" s="307"/>
      <c r="I934" s="307"/>
      <c r="J934" s="307"/>
      <c r="K934" s="307"/>
      <c r="L934" s="307"/>
      <c r="M934" s="307"/>
    </row>
    <row r="935" spans="2:13">
      <c r="B935" s="505"/>
      <c r="C935" s="307"/>
      <c r="D935" s="307"/>
      <c r="E935" s="307"/>
      <c r="F935" s="307"/>
      <c r="G935" s="307"/>
      <c r="H935" s="307"/>
      <c r="I935" s="307"/>
      <c r="J935" s="307"/>
      <c r="K935" s="307"/>
      <c r="L935" s="307"/>
      <c r="M935" s="307"/>
    </row>
    <row r="936" spans="2:13">
      <c r="B936" s="505"/>
      <c r="C936" s="307"/>
      <c r="D936" s="307"/>
      <c r="E936" s="307"/>
      <c r="F936" s="307"/>
      <c r="G936" s="307"/>
      <c r="H936" s="307"/>
      <c r="I936" s="307"/>
      <c r="J936" s="307"/>
      <c r="K936" s="307"/>
      <c r="L936" s="307"/>
      <c r="M936" s="307"/>
    </row>
    <row r="937" spans="2:13">
      <c r="B937" s="505"/>
      <c r="C937" s="307"/>
      <c r="D937" s="307"/>
      <c r="E937" s="307"/>
      <c r="F937" s="307"/>
      <c r="G937" s="307"/>
      <c r="H937" s="307"/>
      <c r="I937" s="307"/>
      <c r="J937" s="307"/>
      <c r="K937" s="307"/>
      <c r="L937" s="307"/>
      <c r="M937" s="307"/>
    </row>
    <row r="938" spans="2:13">
      <c r="B938" s="505"/>
      <c r="C938" s="307"/>
      <c r="D938" s="307"/>
      <c r="E938" s="307"/>
      <c r="F938" s="307"/>
      <c r="G938" s="307"/>
      <c r="H938" s="307"/>
      <c r="I938" s="307"/>
      <c r="J938" s="307"/>
      <c r="K938" s="307"/>
      <c r="L938" s="307"/>
      <c r="M938" s="307"/>
    </row>
    <row r="939" spans="2:13">
      <c r="B939" s="505"/>
      <c r="C939" s="307"/>
      <c r="D939" s="307"/>
      <c r="E939" s="307"/>
      <c r="F939" s="307"/>
      <c r="G939" s="307"/>
      <c r="H939" s="307"/>
      <c r="I939" s="307"/>
      <c r="J939" s="307"/>
      <c r="K939" s="307"/>
      <c r="L939" s="307"/>
      <c r="M939" s="307"/>
    </row>
    <row r="940" spans="2:13">
      <c r="B940" s="505"/>
      <c r="C940" s="307"/>
      <c r="D940" s="307"/>
      <c r="E940" s="307"/>
      <c r="F940" s="307"/>
      <c r="G940" s="307"/>
      <c r="H940" s="307"/>
      <c r="I940" s="307"/>
      <c r="J940" s="307"/>
      <c r="K940" s="307"/>
      <c r="L940" s="307"/>
      <c r="M940" s="307"/>
    </row>
    <row r="941" spans="2:13">
      <c r="B941" s="505"/>
      <c r="C941" s="307"/>
      <c r="D941" s="307"/>
      <c r="E941" s="307"/>
      <c r="F941" s="307"/>
      <c r="G941" s="307"/>
      <c r="H941" s="307"/>
      <c r="I941" s="307"/>
      <c r="J941" s="307"/>
      <c r="K941" s="307"/>
      <c r="L941" s="307"/>
      <c r="M941" s="307"/>
    </row>
    <row r="942" spans="2:13">
      <c r="B942" s="505"/>
      <c r="C942" s="307"/>
      <c r="D942" s="307"/>
      <c r="E942" s="307"/>
      <c r="F942" s="307"/>
      <c r="G942" s="307"/>
      <c r="H942" s="307"/>
      <c r="I942" s="307"/>
      <c r="J942" s="307"/>
      <c r="K942" s="307"/>
      <c r="L942" s="307"/>
      <c r="M942" s="307"/>
    </row>
    <row r="943" spans="2:13">
      <c r="B943" s="505"/>
      <c r="C943" s="307"/>
      <c r="D943" s="307"/>
      <c r="E943" s="307"/>
      <c r="F943" s="307"/>
      <c r="G943" s="307"/>
      <c r="H943" s="307"/>
      <c r="I943" s="307"/>
      <c r="J943" s="307"/>
      <c r="K943" s="307"/>
      <c r="L943" s="307"/>
      <c r="M943" s="307"/>
    </row>
    <row r="944" spans="2:13">
      <c r="B944" s="505"/>
      <c r="C944" s="307"/>
      <c r="D944" s="307"/>
      <c r="E944" s="307"/>
      <c r="F944" s="307"/>
      <c r="G944" s="307"/>
      <c r="H944" s="307"/>
      <c r="I944" s="307"/>
      <c r="J944" s="307"/>
      <c r="K944" s="307"/>
      <c r="L944" s="307"/>
      <c r="M944" s="307"/>
    </row>
    <row r="945" spans="2:13">
      <c r="B945" s="505"/>
      <c r="C945" s="307"/>
      <c r="D945" s="307"/>
      <c r="E945" s="307"/>
      <c r="F945" s="307"/>
      <c r="G945" s="307"/>
      <c r="H945" s="307"/>
      <c r="I945" s="307"/>
      <c r="J945" s="307"/>
      <c r="K945" s="307"/>
      <c r="L945" s="307"/>
      <c r="M945" s="307"/>
    </row>
    <row r="946" spans="2:13">
      <c r="B946" s="505"/>
      <c r="C946" s="307"/>
      <c r="D946" s="307"/>
      <c r="E946" s="307"/>
      <c r="F946" s="307"/>
      <c r="G946" s="307"/>
      <c r="H946" s="307"/>
      <c r="I946" s="307"/>
      <c r="J946" s="307"/>
      <c r="K946" s="307"/>
      <c r="L946" s="307"/>
      <c r="M946" s="307"/>
    </row>
    <row r="947" spans="2:13">
      <c r="B947" s="505"/>
      <c r="C947" s="307"/>
      <c r="D947" s="307"/>
      <c r="E947" s="307"/>
      <c r="F947" s="307"/>
      <c r="G947" s="307"/>
      <c r="H947" s="307"/>
      <c r="I947" s="307"/>
      <c r="J947" s="307"/>
      <c r="K947" s="307"/>
      <c r="L947" s="307"/>
      <c r="M947" s="307"/>
    </row>
    <row r="948" spans="2:13">
      <c r="B948" s="505"/>
      <c r="C948" s="307"/>
      <c r="D948" s="307"/>
      <c r="E948" s="307"/>
      <c r="F948" s="307"/>
      <c r="G948" s="307"/>
      <c r="H948" s="307"/>
      <c r="I948" s="307"/>
      <c r="J948" s="307"/>
      <c r="K948" s="307"/>
      <c r="L948" s="307"/>
      <c r="M948" s="307"/>
    </row>
    <row r="949" spans="2:13">
      <c r="B949" s="505"/>
      <c r="C949" s="307"/>
      <c r="D949" s="307"/>
      <c r="E949" s="307"/>
      <c r="F949" s="307"/>
      <c r="G949" s="307"/>
      <c r="H949" s="307"/>
      <c r="I949" s="307"/>
      <c r="J949" s="307"/>
      <c r="K949" s="307"/>
      <c r="L949" s="307"/>
      <c r="M949" s="307"/>
    </row>
    <row r="950" spans="2:13">
      <c r="B950" s="505"/>
      <c r="C950" s="307"/>
      <c r="D950" s="307"/>
      <c r="E950" s="307"/>
      <c r="F950" s="307"/>
      <c r="G950" s="307"/>
      <c r="H950" s="307"/>
      <c r="I950" s="307"/>
      <c r="J950" s="307"/>
      <c r="K950" s="307"/>
      <c r="L950" s="307"/>
      <c r="M950" s="307"/>
    </row>
    <row r="951" spans="2:13">
      <c r="B951" s="505"/>
      <c r="C951" s="307"/>
      <c r="D951" s="307"/>
      <c r="E951" s="307"/>
      <c r="F951" s="307"/>
      <c r="G951" s="307"/>
      <c r="H951" s="307"/>
      <c r="I951" s="307"/>
      <c r="J951" s="307"/>
      <c r="K951" s="307"/>
      <c r="L951" s="307"/>
      <c r="M951" s="307"/>
    </row>
    <row r="952" spans="2:13">
      <c r="B952" s="505"/>
      <c r="C952" s="307"/>
      <c r="D952" s="307"/>
      <c r="E952" s="307"/>
      <c r="F952" s="307"/>
      <c r="G952" s="307"/>
      <c r="H952" s="307"/>
      <c r="I952" s="307"/>
      <c r="J952" s="307"/>
      <c r="K952" s="307"/>
      <c r="L952" s="307"/>
      <c r="M952" s="307"/>
    </row>
    <row r="953" spans="2:13">
      <c r="B953" s="505"/>
      <c r="C953" s="307"/>
      <c r="D953" s="307"/>
      <c r="E953" s="307"/>
      <c r="F953" s="307"/>
      <c r="G953" s="307"/>
      <c r="H953" s="307"/>
      <c r="I953" s="307"/>
      <c r="J953" s="307"/>
      <c r="K953" s="307"/>
      <c r="L953" s="307"/>
      <c r="M953" s="307"/>
    </row>
    <row r="954" spans="2:13">
      <c r="B954" s="505"/>
      <c r="C954" s="307"/>
      <c r="D954" s="307"/>
      <c r="E954" s="307"/>
      <c r="F954" s="307"/>
      <c r="G954" s="307"/>
      <c r="H954" s="307"/>
      <c r="I954" s="307"/>
      <c r="J954" s="307"/>
      <c r="K954" s="307"/>
      <c r="L954" s="307"/>
      <c r="M954" s="307"/>
    </row>
    <row r="955" spans="2:13">
      <c r="B955" s="505"/>
      <c r="C955" s="307"/>
      <c r="D955" s="307"/>
      <c r="E955" s="307"/>
      <c r="F955" s="307"/>
      <c r="G955" s="307"/>
      <c r="H955" s="307"/>
      <c r="I955" s="307"/>
      <c r="J955" s="307"/>
      <c r="K955" s="307"/>
      <c r="L955" s="307"/>
      <c r="M955" s="307"/>
    </row>
    <row r="956" spans="2:13">
      <c r="B956" s="505"/>
      <c r="C956" s="307"/>
      <c r="D956" s="307"/>
      <c r="E956" s="307"/>
      <c r="F956" s="307"/>
      <c r="G956" s="307"/>
      <c r="H956" s="307"/>
      <c r="I956" s="307"/>
      <c r="J956" s="307"/>
      <c r="K956" s="307"/>
      <c r="L956" s="307"/>
      <c r="M956" s="307"/>
    </row>
    <row r="957" spans="2:13">
      <c r="B957" s="505"/>
      <c r="C957" s="307"/>
      <c r="D957" s="307"/>
      <c r="E957" s="307"/>
      <c r="F957" s="307"/>
      <c r="G957" s="307"/>
      <c r="H957" s="307"/>
      <c r="I957" s="307"/>
      <c r="J957" s="307"/>
      <c r="K957" s="307"/>
      <c r="L957" s="307"/>
      <c r="M957" s="307"/>
    </row>
    <row r="958" spans="2:13">
      <c r="B958" s="505"/>
      <c r="C958" s="307"/>
      <c r="D958" s="307"/>
      <c r="E958" s="307"/>
      <c r="F958" s="307"/>
      <c r="G958" s="307"/>
      <c r="H958" s="307"/>
      <c r="I958" s="307"/>
      <c r="J958" s="307"/>
      <c r="K958" s="307"/>
      <c r="L958" s="307"/>
      <c r="M958" s="307"/>
    </row>
    <row r="959" spans="2:13">
      <c r="B959" s="505"/>
      <c r="C959" s="307"/>
      <c r="D959" s="307"/>
      <c r="E959" s="307"/>
      <c r="F959" s="307"/>
      <c r="G959" s="307"/>
      <c r="H959" s="307"/>
      <c r="I959" s="307"/>
      <c r="J959" s="307"/>
      <c r="K959" s="307"/>
      <c r="L959" s="307"/>
      <c r="M959" s="307"/>
    </row>
    <row r="960" spans="2:13">
      <c r="B960" s="505"/>
      <c r="C960" s="307"/>
      <c r="D960" s="307"/>
      <c r="E960" s="307"/>
      <c r="F960" s="307"/>
      <c r="G960" s="307"/>
      <c r="H960" s="307"/>
      <c r="I960" s="307"/>
      <c r="J960" s="307"/>
      <c r="K960" s="307"/>
      <c r="L960" s="307"/>
      <c r="M960" s="307"/>
    </row>
    <row r="961" spans="2:13">
      <c r="B961" s="505"/>
      <c r="C961" s="307"/>
      <c r="D961" s="307"/>
      <c r="E961" s="307"/>
      <c r="F961" s="307"/>
      <c r="G961" s="307"/>
      <c r="H961" s="307"/>
      <c r="I961" s="307"/>
      <c r="J961" s="307"/>
      <c r="K961" s="307"/>
      <c r="L961" s="307"/>
      <c r="M961" s="307"/>
    </row>
    <row r="962" spans="2:13">
      <c r="B962" s="505"/>
      <c r="C962" s="307"/>
      <c r="D962" s="307"/>
      <c r="E962" s="307"/>
      <c r="F962" s="307"/>
      <c r="G962" s="307"/>
      <c r="H962" s="307"/>
      <c r="I962" s="307"/>
      <c r="J962" s="307"/>
      <c r="K962" s="307"/>
      <c r="L962" s="307"/>
      <c r="M962" s="307"/>
    </row>
    <row r="963" spans="2:13">
      <c r="B963" s="505"/>
      <c r="C963" s="307"/>
      <c r="D963" s="307"/>
      <c r="E963" s="307"/>
      <c r="F963" s="307"/>
      <c r="G963" s="307"/>
      <c r="H963" s="307"/>
      <c r="I963" s="307"/>
      <c r="J963" s="307"/>
      <c r="K963" s="307"/>
      <c r="L963" s="307"/>
      <c r="M963" s="307"/>
    </row>
    <row r="964" spans="2:13">
      <c r="B964" s="505"/>
      <c r="C964" s="307"/>
      <c r="D964" s="307"/>
      <c r="E964" s="307"/>
      <c r="F964" s="307"/>
      <c r="G964" s="307"/>
      <c r="H964" s="307"/>
      <c r="I964" s="307"/>
      <c r="J964" s="307"/>
      <c r="K964" s="307"/>
      <c r="L964" s="307"/>
      <c r="M964" s="307"/>
    </row>
    <row r="965" spans="2:13">
      <c r="B965" s="505"/>
      <c r="C965" s="307"/>
      <c r="D965" s="307"/>
      <c r="E965" s="307"/>
      <c r="F965" s="307"/>
      <c r="G965" s="307"/>
      <c r="H965" s="307"/>
      <c r="I965" s="307"/>
      <c r="J965" s="307"/>
      <c r="K965" s="307"/>
      <c r="L965" s="307"/>
      <c r="M965" s="307"/>
    </row>
    <row r="966" spans="2:13">
      <c r="B966" s="505"/>
      <c r="C966" s="307"/>
      <c r="D966" s="307"/>
      <c r="E966" s="307"/>
      <c r="F966" s="307"/>
      <c r="G966" s="307"/>
      <c r="H966" s="307"/>
      <c r="I966" s="307"/>
      <c r="J966" s="307"/>
      <c r="K966" s="307"/>
      <c r="L966" s="307"/>
      <c r="M966" s="307"/>
    </row>
    <row r="967" spans="2:13">
      <c r="B967" s="505"/>
      <c r="C967" s="307"/>
      <c r="D967" s="307"/>
      <c r="E967" s="307"/>
      <c r="F967" s="307"/>
      <c r="G967" s="307"/>
      <c r="H967" s="307"/>
      <c r="I967" s="307"/>
      <c r="J967" s="307"/>
      <c r="K967" s="307"/>
      <c r="L967" s="307"/>
      <c r="M967" s="307"/>
    </row>
    <row r="968" spans="2:13">
      <c r="B968" s="505"/>
      <c r="C968" s="307"/>
      <c r="D968" s="307"/>
      <c r="E968" s="307"/>
      <c r="F968" s="307"/>
      <c r="G968" s="307"/>
      <c r="H968" s="307"/>
      <c r="I968" s="307"/>
      <c r="J968" s="307"/>
      <c r="K968" s="307"/>
      <c r="L968" s="307"/>
      <c r="M968" s="307"/>
    </row>
    <row r="969" spans="2:13">
      <c r="B969" s="505"/>
      <c r="C969" s="307"/>
      <c r="D969" s="307"/>
      <c r="E969" s="307"/>
      <c r="F969" s="307"/>
      <c r="G969" s="307"/>
      <c r="H969" s="307"/>
      <c r="I969" s="307"/>
      <c r="J969" s="307"/>
      <c r="K969" s="307"/>
      <c r="L969" s="307"/>
      <c r="M969" s="307"/>
    </row>
    <row r="970" spans="2:13">
      <c r="B970" s="505"/>
      <c r="C970" s="307"/>
      <c r="D970" s="307"/>
      <c r="E970" s="307"/>
      <c r="F970" s="307"/>
      <c r="G970" s="307"/>
      <c r="H970" s="307"/>
      <c r="I970" s="307"/>
      <c r="J970" s="307"/>
      <c r="K970" s="307"/>
      <c r="L970" s="307"/>
      <c r="M970" s="307"/>
    </row>
    <row r="971" spans="2:13">
      <c r="B971" s="505"/>
      <c r="C971" s="307"/>
      <c r="D971" s="307"/>
      <c r="E971" s="307"/>
      <c r="F971" s="307"/>
      <c r="G971" s="307"/>
      <c r="H971" s="307"/>
      <c r="I971" s="307"/>
      <c r="J971" s="307"/>
      <c r="K971" s="307"/>
      <c r="L971" s="307"/>
      <c r="M971" s="307"/>
    </row>
    <row r="972" spans="2:13">
      <c r="B972" s="505"/>
      <c r="C972" s="307"/>
      <c r="D972" s="307"/>
      <c r="E972" s="307"/>
      <c r="F972" s="307"/>
      <c r="G972" s="307"/>
      <c r="H972" s="307"/>
      <c r="I972" s="307"/>
      <c r="J972" s="307"/>
      <c r="K972" s="307"/>
      <c r="L972" s="307"/>
      <c r="M972" s="307"/>
    </row>
    <row r="973" spans="2:13">
      <c r="B973" s="505"/>
      <c r="C973" s="307"/>
      <c r="D973" s="307"/>
      <c r="E973" s="307"/>
      <c r="F973" s="307"/>
      <c r="G973" s="307"/>
      <c r="H973" s="307"/>
      <c r="I973" s="307"/>
      <c r="J973" s="307"/>
      <c r="K973" s="307"/>
      <c r="L973" s="307"/>
      <c r="M973" s="307"/>
    </row>
    <row r="974" spans="2:13">
      <c r="B974" s="505"/>
      <c r="C974" s="307"/>
      <c r="D974" s="307"/>
      <c r="E974" s="307"/>
      <c r="F974" s="307"/>
      <c r="G974" s="307"/>
      <c r="H974" s="307"/>
      <c r="I974" s="307"/>
      <c r="J974" s="307"/>
      <c r="K974" s="307"/>
      <c r="L974" s="307"/>
      <c r="M974" s="307"/>
    </row>
    <row r="975" spans="2:13">
      <c r="B975" s="505"/>
      <c r="C975" s="307"/>
      <c r="D975" s="307"/>
      <c r="E975" s="307"/>
      <c r="F975" s="307"/>
      <c r="G975" s="307"/>
      <c r="H975" s="307"/>
      <c r="I975" s="307"/>
      <c r="J975" s="307"/>
      <c r="K975" s="307"/>
      <c r="L975" s="307"/>
      <c r="M975" s="307"/>
    </row>
    <row r="976" spans="2:13">
      <c r="B976" s="505"/>
      <c r="C976" s="307"/>
      <c r="D976" s="307"/>
      <c r="E976" s="307"/>
      <c r="F976" s="307"/>
      <c r="G976" s="307"/>
      <c r="H976" s="307"/>
      <c r="I976" s="307"/>
      <c r="J976" s="307"/>
      <c r="K976" s="307"/>
      <c r="L976" s="307"/>
      <c r="M976" s="307"/>
    </row>
    <row r="977" spans="2:13">
      <c r="B977" s="505"/>
      <c r="C977" s="307"/>
      <c r="D977" s="307"/>
      <c r="E977" s="307"/>
      <c r="F977" s="307"/>
      <c r="G977" s="307"/>
      <c r="H977" s="307"/>
      <c r="I977" s="307"/>
      <c r="J977" s="307"/>
      <c r="K977" s="307"/>
      <c r="L977" s="307"/>
      <c r="M977" s="307"/>
    </row>
    <row r="978" spans="2:13">
      <c r="B978" s="505"/>
      <c r="C978" s="307"/>
      <c r="D978" s="307"/>
      <c r="E978" s="307"/>
      <c r="F978" s="307"/>
      <c r="G978" s="307"/>
      <c r="H978" s="307"/>
      <c r="I978" s="307"/>
      <c r="J978" s="307"/>
      <c r="K978" s="307"/>
      <c r="L978" s="307"/>
      <c r="M978" s="307"/>
    </row>
    <row r="979" spans="2:13">
      <c r="B979" s="505"/>
      <c r="C979" s="307"/>
      <c r="D979" s="307"/>
      <c r="E979" s="307"/>
      <c r="F979" s="307"/>
      <c r="G979" s="307"/>
      <c r="H979" s="307"/>
      <c r="I979" s="307"/>
      <c r="J979" s="307"/>
      <c r="K979" s="307"/>
      <c r="L979" s="307"/>
      <c r="M979" s="307"/>
    </row>
    <row r="980" spans="2:13">
      <c r="B980" s="505"/>
      <c r="C980" s="307"/>
      <c r="D980" s="307"/>
      <c r="E980" s="307"/>
      <c r="F980" s="307"/>
      <c r="G980" s="307"/>
      <c r="H980" s="307"/>
      <c r="I980" s="307"/>
      <c r="J980" s="307"/>
      <c r="K980" s="307"/>
      <c r="L980" s="307"/>
      <c r="M980" s="307"/>
    </row>
    <row r="981" spans="2:13">
      <c r="B981" s="505"/>
      <c r="C981" s="307"/>
      <c r="D981" s="307"/>
      <c r="E981" s="307"/>
      <c r="F981" s="307"/>
      <c r="G981" s="307"/>
      <c r="H981" s="307"/>
      <c r="I981" s="307"/>
      <c r="J981" s="307"/>
      <c r="K981" s="307"/>
      <c r="L981" s="307"/>
      <c r="M981" s="307"/>
    </row>
    <row r="982" spans="2:13">
      <c r="B982" s="505"/>
      <c r="C982" s="307"/>
      <c r="D982" s="307"/>
      <c r="E982" s="307"/>
      <c r="F982" s="307"/>
      <c r="G982" s="307"/>
      <c r="H982" s="307"/>
      <c r="I982" s="307"/>
      <c r="J982" s="307"/>
      <c r="K982" s="307"/>
      <c r="L982" s="307"/>
      <c r="M982" s="307"/>
    </row>
    <row r="983" spans="2:13">
      <c r="B983" s="505"/>
      <c r="C983" s="307"/>
      <c r="D983" s="307"/>
      <c r="E983" s="307"/>
      <c r="F983" s="307"/>
      <c r="G983" s="307"/>
      <c r="H983" s="307"/>
      <c r="I983" s="307"/>
      <c r="J983" s="307"/>
      <c r="K983" s="307"/>
      <c r="L983" s="307"/>
      <c r="M983" s="307"/>
    </row>
    <row r="984" spans="2:13">
      <c r="B984" s="505"/>
      <c r="C984" s="307"/>
      <c r="D984" s="307"/>
      <c r="E984" s="307"/>
      <c r="F984" s="307"/>
      <c r="G984" s="307"/>
      <c r="H984" s="307"/>
      <c r="I984" s="307"/>
      <c r="J984" s="307"/>
      <c r="K984" s="307"/>
      <c r="L984" s="307"/>
      <c r="M984" s="307"/>
    </row>
    <row r="985" spans="2:13">
      <c r="B985" s="505"/>
      <c r="C985" s="307"/>
      <c r="D985" s="307"/>
      <c r="E985" s="307"/>
      <c r="F985" s="307"/>
      <c r="G985" s="307"/>
      <c r="H985" s="307"/>
      <c r="I985" s="307"/>
      <c r="J985" s="307"/>
      <c r="K985" s="307"/>
      <c r="L985" s="307"/>
      <c r="M985" s="307"/>
    </row>
    <row r="986" spans="2:13">
      <c r="B986" s="505"/>
      <c r="C986" s="307"/>
      <c r="D986" s="307"/>
      <c r="E986" s="307"/>
      <c r="F986" s="307"/>
      <c r="G986" s="307"/>
      <c r="H986" s="307"/>
      <c r="I986" s="307"/>
      <c r="J986" s="307"/>
      <c r="K986" s="307"/>
      <c r="L986" s="307"/>
      <c r="M986" s="307"/>
    </row>
    <row r="987" spans="2:13">
      <c r="B987" s="505"/>
      <c r="C987" s="307"/>
      <c r="D987" s="307"/>
      <c r="E987" s="307"/>
      <c r="F987" s="307"/>
      <c r="G987" s="307"/>
      <c r="H987" s="307"/>
      <c r="I987" s="307"/>
      <c r="J987" s="307"/>
      <c r="K987" s="307"/>
      <c r="L987" s="307"/>
      <c r="M987" s="307"/>
    </row>
    <row r="988" spans="2:13">
      <c r="B988" s="505"/>
      <c r="C988" s="307"/>
      <c r="D988" s="307"/>
      <c r="E988" s="307"/>
      <c r="F988" s="307"/>
      <c r="G988" s="307"/>
      <c r="H988" s="307"/>
      <c r="I988" s="307"/>
      <c r="J988" s="307"/>
      <c r="K988" s="307"/>
      <c r="L988" s="307"/>
      <c r="M988" s="307"/>
    </row>
    <row r="989" spans="2:13">
      <c r="B989" s="505"/>
      <c r="C989" s="307"/>
      <c r="D989" s="307"/>
      <c r="E989" s="307"/>
      <c r="F989" s="307"/>
      <c r="G989" s="307"/>
      <c r="H989" s="307"/>
      <c r="I989" s="307"/>
      <c r="J989" s="307"/>
      <c r="K989" s="307"/>
      <c r="L989" s="307"/>
      <c r="M989" s="307"/>
    </row>
    <row r="990" spans="2:13">
      <c r="B990" s="505"/>
      <c r="C990" s="307"/>
      <c r="D990" s="307"/>
      <c r="E990" s="307"/>
      <c r="F990" s="307"/>
      <c r="G990" s="307"/>
      <c r="H990" s="307"/>
      <c r="I990" s="307"/>
      <c r="J990" s="307"/>
      <c r="K990" s="307"/>
      <c r="L990" s="307"/>
      <c r="M990" s="307"/>
    </row>
    <row r="991" spans="2:13">
      <c r="B991" s="505"/>
      <c r="C991" s="307"/>
      <c r="D991" s="307"/>
      <c r="E991" s="307"/>
      <c r="F991" s="307"/>
      <c r="G991" s="307"/>
      <c r="H991" s="307"/>
      <c r="I991" s="307"/>
      <c r="J991" s="307"/>
      <c r="K991" s="307"/>
      <c r="L991" s="307"/>
      <c r="M991" s="307"/>
    </row>
    <row r="992" spans="2:13">
      <c r="B992" s="505"/>
      <c r="C992" s="307"/>
      <c r="D992" s="307"/>
      <c r="E992" s="307"/>
      <c r="F992" s="307"/>
      <c r="G992" s="307"/>
      <c r="H992" s="307"/>
      <c r="I992" s="307"/>
      <c r="J992" s="307"/>
      <c r="K992" s="307"/>
      <c r="L992" s="307"/>
      <c r="M992" s="307"/>
    </row>
    <row r="993" spans="2:13">
      <c r="B993" s="505"/>
      <c r="C993" s="307"/>
      <c r="D993" s="307"/>
      <c r="E993" s="307"/>
      <c r="F993" s="307"/>
      <c r="G993" s="307"/>
      <c r="H993" s="307"/>
      <c r="I993" s="307"/>
      <c r="J993" s="307"/>
      <c r="K993" s="307"/>
      <c r="L993" s="307"/>
      <c r="M993" s="307"/>
    </row>
    <row r="994" spans="2:13">
      <c r="B994" s="505"/>
      <c r="C994" s="307"/>
      <c r="D994" s="307"/>
      <c r="E994" s="307"/>
      <c r="F994" s="307"/>
      <c r="G994" s="307"/>
      <c r="H994" s="307"/>
      <c r="I994" s="307"/>
      <c r="J994" s="307"/>
      <c r="K994" s="307"/>
      <c r="L994" s="307"/>
      <c r="M994" s="307"/>
    </row>
    <row r="995" spans="2:13">
      <c r="B995" s="505"/>
      <c r="C995" s="307"/>
      <c r="D995" s="307"/>
      <c r="E995" s="307"/>
      <c r="F995" s="307"/>
      <c r="G995" s="307"/>
      <c r="H995" s="307"/>
      <c r="I995" s="307"/>
      <c r="J995" s="307"/>
      <c r="K995" s="307"/>
      <c r="L995" s="307"/>
      <c r="M995" s="307"/>
    </row>
    <row r="996" spans="2:13">
      <c r="B996" s="505"/>
      <c r="C996" s="307"/>
      <c r="D996" s="307"/>
      <c r="E996" s="307"/>
      <c r="F996" s="307"/>
      <c r="G996" s="307"/>
      <c r="H996" s="307"/>
      <c r="I996" s="307"/>
      <c r="J996" s="307"/>
      <c r="K996" s="307"/>
      <c r="L996" s="307"/>
      <c r="M996" s="307"/>
    </row>
    <row r="997" spans="2:13">
      <c r="B997" s="505"/>
      <c r="C997" s="307"/>
      <c r="D997" s="307"/>
      <c r="E997" s="307"/>
      <c r="F997" s="307"/>
      <c r="G997" s="307"/>
      <c r="H997" s="307"/>
      <c r="I997" s="307"/>
      <c r="J997" s="307"/>
      <c r="K997" s="307"/>
      <c r="L997" s="307"/>
      <c r="M997" s="307"/>
    </row>
    <row r="998" spans="2:13">
      <c r="B998" s="505"/>
      <c r="C998" s="307"/>
      <c r="D998" s="307"/>
      <c r="E998" s="307"/>
      <c r="F998" s="307"/>
      <c r="G998" s="307"/>
      <c r="H998" s="307"/>
      <c r="I998" s="307"/>
      <c r="J998" s="307"/>
      <c r="K998" s="307"/>
      <c r="L998" s="307"/>
      <c r="M998" s="307"/>
    </row>
    <row r="999" spans="2:13">
      <c r="B999" s="505"/>
      <c r="C999" s="307"/>
      <c r="D999" s="307"/>
      <c r="E999" s="307"/>
      <c r="F999" s="307"/>
      <c r="G999" s="307"/>
      <c r="H999" s="307"/>
      <c r="I999" s="307"/>
      <c r="J999" s="307"/>
      <c r="K999" s="307"/>
      <c r="L999" s="307"/>
      <c r="M999" s="307"/>
    </row>
    <row r="1000" spans="2:13">
      <c r="B1000" s="505"/>
      <c r="C1000" s="307"/>
      <c r="D1000" s="307"/>
      <c r="E1000" s="307"/>
      <c r="F1000" s="307"/>
      <c r="G1000" s="307"/>
      <c r="H1000" s="307"/>
      <c r="I1000" s="307"/>
      <c r="J1000" s="307"/>
      <c r="K1000" s="307"/>
      <c r="L1000" s="307"/>
      <c r="M1000" s="307"/>
    </row>
    <row r="1001" spans="2:13">
      <c r="B1001" s="505"/>
      <c r="C1001" s="307"/>
      <c r="D1001" s="307"/>
      <c r="E1001" s="307"/>
      <c r="F1001" s="307"/>
      <c r="G1001" s="307"/>
      <c r="H1001" s="307"/>
      <c r="I1001" s="307"/>
      <c r="J1001" s="307"/>
      <c r="K1001" s="307"/>
      <c r="L1001" s="307"/>
      <c r="M1001" s="307"/>
    </row>
    <row r="1002" spans="2:13">
      <c r="B1002" s="505"/>
      <c r="C1002" s="307"/>
      <c r="D1002" s="307"/>
      <c r="E1002" s="307"/>
      <c r="F1002" s="307"/>
      <c r="G1002" s="307"/>
      <c r="H1002" s="307"/>
      <c r="I1002" s="307"/>
      <c r="J1002" s="307"/>
      <c r="K1002" s="307"/>
      <c r="L1002" s="307"/>
      <c r="M1002" s="307"/>
    </row>
    <row r="1003" spans="2:13">
      <c r="B1003" s="505"/>
      <c r="C1003" s="307"/>
      <c r="D1003" s="307"/>
      <c r="E1003" s="307"/>
      <c r="F1003" s="307"/>
      <c r="G1003" s="307"/>
      <c r="H1003" s="307"/>
      <c r="I1003" s="307"/>
      <c r="J1003" s="307"/>
      <c r="K1003" s="307"/>
      <c r="L1003" s="307"/>
      <c r="M1003" s="307"/>
    </row>
    <row r="1004" spans="2:13">
      <c r="B1004" s="505"/>
      <c r="C1004" s="307"/>
      <c r="D1004" s="307"/>
      <c r="E1004" s="307"/>
      <c r="F1004" s="307"/>
      <c r="G1004" s="307"/>
      <c r="H1004" s="307"/>
      <c r="I1004" s="307"/>
      <c r="J1004" s="307"/>
      <c r="K1004" s="307"/>
      <c r="L1004" s="307"/>
      <c r="M1004" s="307"/>
    </row>
    <row r="1005" spans="2:13">
      <c r="B1005" s="505"/>
      <c r="C1005" s="307"/>
      <c r="D1005" s="307"/>
      <c r="E1005" s="307"/>
      <c r="F1005" s="307"/>
      <c r="G1005" s="307"/>
      <c r="H1005" s="307"/>
      <c r="I1005" s="307"/>
      <c r="J1005" s="307"/>
      <c r="K1005" s="307"/>
      <c r="L1005" s="307"/>
      <c r="M1005" s="307"/>
    </row>
    <row r="1006" spans="2:13">
      <c r="B1006" s="505"/>
      <c r="C1006" s="307"/>
      <c r="D1006" s="307"/>
      <c r="E1006" s="307"/>
      <c r="F1006" s="307"/>
      <c r="G1006" s="307"/>
      <c r="H1006" s="307"/>
      <c r="I1006" s="307"/>
      <c r="J1006" s="307"/>
      <c r="K1006" s="307"/>
      <c r="L1006" s="307"/>
      <c r="M1006" s="307"/>
    </row>
    <row r="1007" spans="2:13">
      <c r="B1007" s="505"/>
      <c r="C1007" s="307"/>
      <c r="D1007" s="307"/>
      <c r="E1007" s="307"/>
      <c r="F1007" s="307"/>
      <c r="G1007" s="307"/>
      <c r="H1007" s="307"/>
      <c r="I1007" s="307"/>
      <c r="J1007" s="307"/>
      <c r="K1007" s="307"/>
      <c r="L1007" s="307"/>
      <c r="M1007" s="307"/>
    </row>
    <row r="1008" spans="2:13">
      <c r="B1008" s="505"/>
      <c r="C1008" s="307"/>
      <c r="D1008" s="307"/>
      <c r="E1008" s="307"/>
      <c r="F1008" s="307"/>
      <c r="G1008" s="307"/>
      <c r="H1008" s="307"/>
      <c r="I1008" s="307"/>
      <c r="J1008" s="307"/>
      <c r="K1008" s="307"/>
      <c r="L1008" s="307"/>
      <c r="M1008" s="307"/>
    </row>
    <row r="1009" spans="2:13">
      <c r="B1009" s="505"/>
      <c r="C1009" s="307"/>
      <c r="D1009" s="307"/>
      <c r="E1009" s="307"/>
      <c r="F1009" s="307"/>
      <c r="G1009" s="307"/>
      <c r="H1009" s="307"/>
      <c r="I1009" s="307"/>
      <c r="J1009" s="307"/>
      <c r="K1009" s="307"/>
      <c r="L1009" s="307"/>
      <c r="M1009" s="307"/>
    </row>
    <row r="1010" spans="2:13">
      <c r="B1010" s="505"/>
      <c r="C1010" s="307"/>
      <c r="D1010" s="307"/>
      <c r="E1010" s="307"/>
      <c r="F1010" s="307"/>
      <c r="G1010" s="307"/>
      <c r="H1010" s="307"/>
      <c r="I1010" s="307"/>
      <c r="J1010" s="307"/>
      <c r="K1010" s="307"/>
      <c r="L1010" s="307"/>
      <c r="M1010" s="307"/>
    </row>
    <row r="1011" spans="2:13">
      <c r="B1011" s="505"/>
      <c r="C1011" s="307"/>
      <c r="D1011" s="307"/>
      <c r="E1011" s="307"/>
      <c r="F1011" s="307"/>
      <c r="G1011" s="307"/>
      <c r="H1011" s="307"/>
      <c r="I1011" s="307"/>
      <c r="J1011" s="307"/>
      <c r="K1011" s="307"/>
      <c r="L1011" s="307"/>
      <c r="M1011" s="307"/>
    </row>
    <row r="1012" spans="2:13">
      <c r="B1012" s="505"/>
      <c r="C1012" s="307"/>
      <c r="D1012" s="307"/>
      <c r="E1012" s="307"/>
      <c r="F1012" s="307"/>
      <c r="G1012" s="307"/>
      <c r="H1012" s="307"/>
      <c r="I1012" s="307"/>
      <c r="J1012" s="307"/>
      <c r="K1012" s="307"/>
      <c r="L1012" s="307"/>
      <c r="M1012" s="307"/>
    </row>
    <row r="1013" spans="2:13">
      <c r="B1013" s="505"/>
      <c r="C1013" s="307"/>
      <c r="D1013" s="307"/>
      <c r="E1013" s="307"/>
      <c r="F1013" s="307"/>
      <c r="G1013" s="307"/>
      <c r="H1013" s="307"/>
      <c r="I1013" s="307"/>
      <c r="J1013" s="307"/>
      <c r="K1013" s="307"/>
      <c r="L1013" s="307"/>
      <c r="M1013" s="307"/>
    </row>
    <row r="1014" spans="2:13">
      <c r="B1014" s="505"/>
      <c r="C1014" s="307"/>
      <c r="D1014" s="307"/>
      <c r="E1014" s="307"/>
      <c r="F1014" s="307"/>
      <c r="G1014" s="307"/>
      <c r="H1014" s="307"/>
      <c r="I1014" s="307"/>
      <c r="J1014" s="307"/>
      <c r="K1014" s="307"/>
      <c r="L1014" s="307"/>
      <c r="M1014" s="307"/>
    </row>
    <row r="1015" spans="2:13">
      <c r="B1015" s="505"/>
      <c r="C1015" s="307"/>
      <c r="D1015" s="307"/>
      <c r="E1015" s="307"/>
      <c r="F1015" s="307"/>
      <c r="G1015" s="307"/>
      <c r="H1015" s="307"/>
      <c r="I1015" s="307"/>
      <c r="J1015" s="307"/>
      <c r="K1015" s="307"/>
      <c r="L1015" s="307"/>
      <c r="M1015" s="307"/>
    </row>
    <row r="1016" spans="2:13">
      <c r="B1016" s="505"/>
      <c r="C1016" s="307"/>
      <c r="D1016" s="307"/>
      <c r="E1016" s="307"/>
      <c r="F1016" s="307"/>
      <c r="G1016" s="307"/>
      <c r="H1016" s="307"/>
      <c r="I1016" s="307"/>
      <c r="J1016" s="307"/>
      <c r="K1016" s="307"/>
      <c r="L1016" s="307"/>
      <c r="M1016" s="307"/>
    </row>
    <row r="1017" spans="2:13">
      <c r="B1017" s="505"/>
      <c r="C1017" s="307"/>
      <c r="D1017" s="307"/>
      <c r="E1017" s="307"/>
      <c r="F1017" s="307"/>
      <c r="G1017" s="307"/>
      <c r="H1017" s="307"/>
      <c r="I1017" s="307"/>
      <c r="J1017" s="307"/>
      <c r="K1017" s="307"/>
      <c r="L1017" s="307"/>
      <c r="M1017" s="307"/>
    </row>
    <row r="1018" spans="2:13">
      <c r="B1018" s="505"/>
      <c r="C1018" s="307"/>
      <c r="D1018" s="307"/>
      <c r="E1018" s="307"/>
      <c r="F1018" s="307"/>
      <c r="G1018" s="307"/>
      <c r="H1018" s="307"/>
      <c r="I1018" s="307"/>
      <c r="J1018" s="307"/>
      <c r="K1018" s="307"/>
      <c r="L1018" s="307"/>
      <c r="M1018" s="307"/>
    </row>
    <row r="1019" spans="2:13">
      <c r="B1019" s="505"/>
      <c r="C1019" s="307"/>
      <c r="D1019" s="307"/>
      <c r="E1019" s="307"/>
      <c r="F1019" s="307"/>
      <c r="G1019" s="307"/>
      <c r="H1019" s="307"/>
      <c r="I1019" s="307"/>
      <c r="J1019" s="307"/>
      <c r="K1019" s="307"/>
      <c r="L1019" s="307"/>
      <c r="M1019" s="307"/>
    </row>
    <row r="1020" spans="2:13">
      <c r="B1020" s="505"/>
      <c r="C1020" s="307"/>
      <c r="D1020" s="307"/>
      <c r="E1020" s="307"/>
      <c r="F1020" s="307"/>
      <c r="G1020" s="307"/>
      <c r="H1020" s="307"/>
      <c r="I1020" s="307"/>
      <c r="J1020" s="307"/>
      <c r="K1020" s="307"/>
      <c r="L1020" s="307"/>
      <c r="M1020" s="307"/>
    </row>
    <row r="1021" spans="2:13">
      <c r="B1021" s="505"/>
      <c r="C1021" s="307"/>
      <c r="D1021" s="307"/>
      <c r="E1021" s="307"/>
      <c r="F1021" s="307"/>
      <c r="G1021" s="307"/>
      <c r="H1021" s="307"/>
      <c r="I1021" s="307"/>
      <c r="J1021" s="307"/>
      <c r="K1021" s="307"/>
      <c r="L1021" s="307"/>
      <c r="M1021" s="307"/>
    </row>
    <row r="1022" spans="2:13">
      <c r="B1022" s="505"/>
      <c r="C1022" s="307"/>
      <c r="D1022" s="307"/>
      <c r="E1022" s="307"/>
      <c r="F1022" s="307"/>
      <c r="G1022" s="307"/>
      <c r="H1022" s="307"/>
      <c r="I1022" s="307"/>
      <c r="J1022" s="307"/>
      <c r="K1022" s="307"/>
      <c r="L1022" s="307"/>
      <c r="M1022" s="307"/>
    </row>
    <row r="1023" spans="2:13">
      <c r="B1023" s="505"/>
      <c r="C1023" s="307"/>
      <c r="D1023" s="307"/>
      <c r="E1023" s="307"/>
      <c r="F1023" s="307"/>
      <c r="G1023" s="307"/>
      <c r="H1023" s="307"/>
      <c r="I1023" s="307"/>
      <c r="J1023" s="307"/>
      <c r="K1023" s="307"/>
      <c r="L1023" s="307"/>
      <c r="M1023" s="307"/>
    </row>
    <row r="1024" spans="2:13">
      <c r="B1024" s="505"/>
      <c r="C1024" s="307"/>
      <c r="D1024" s="307"/>
      <c r="E1024" s="307"/>
      <c r="F1024" s="307"/>
      <c r="G1024" s="307"/>
      <c r="H1024" s="307"/>
      <c r="I1024" s="307"/>
      <c r="J1024" s="307"/>
      <c r="K1024" s="307"/>
      <c r="L1024" s="307"/>
      <c r="M1024" s="307"/>
    </row>
    <row r="1025" spans="2:13">
      <c r="B1025" s="505"/>
      <c r="C1025" s="307"/>
      <c r="D1025" s="307"/>
      <c r="E1025" s="307"/>
      <c r="F1025" s="307"/>
      <c r="G1025" s="307"/>
      <c r="H1025" s="307"/>
      <c r="I1025" s="307"/>
      <c r="J1025" s="307"/>
      <c r="K1025" s="307"/>
      <c r="L1025" s="307"/>
      <c r="M1025" s="307"/>
    </row>
    <row r="1026" spans="2:13">
      <c r="B1026" s="505"/>
      <c r="C1026" s="307"/>
      <c r="D1026" s="307"/>
      <c r="E1026" s="307"/>
      <c r="F1026" s="307"/>
      <c r="G1026" s="307"/>
      <c r="H1026" s="307"/>
      <c r="I1026" s="307"/>
      <c r="J1026" s="307"/>
      <c r="K1026" s="307"/>
      <c r="L1026" s="307"/>
      <c r="M1026" s="307"/>
    </row>
    <row r="1027" spans="2:13">
      <c r="B1027" s="505"/>
      <c r="C1027" s="307"/>
      <c r="D1027" s="307"/>
      <c r="E1027" s="307"/>
      <c r="F1027" s="307"/>
      <c r="G1027" s="307"/>
      <c r="H1027" s="307"/>
      <c r="I1027" s="307"/>
      <c r="J1027" s="307"/>
      <c r="K1027" s="307"/>
      <c r="L1027" s="307"/>
      <c r="M1027" s="307"/>
    </row>
    <row r="1028" spans="2:13">
      <c r="B1028" s="505"/>
      <c r="C1028" s="307"/>
      <c r="D1028" s="307"/>
      <c r="E1028" s="307"/>
      <c r="F1028" s="307"/>
      <c r="G1028" s="307"/>
      <c r="H1028" s="307"/>
      <c r="I1028" s="307"/>
      <c r="J1028" s="307"/>
      <c r="K1028" s="307"/>
      <c r="L1028" s="307"/>
      <c r="M1028" s="307"/>
    </row>
    <row r="1029" spans="2:13">
      <c r="B1029" s="505"/>
      <c r="C1029" s="307"/>
      <c r="D1029" s="307"/>
      <c r="E1029" s="307"/>
      <c r="F1029" s="307"/>
      <c r="G1029" s="307"/>
      <c r="H1029" s="307"/>
      <c r="I1029" s="307"/>
      <c r="J1029" s="307"/>
      <c r="K1029" s="307"/>
      <c r="L1029" s="307"/>
      <c r="M1029" s="307"/>
    </row>
    <row r="1030" spans="2:13">
      <c r="B1030" s="505"/>
      <c r="C1030" s="307"/>
      <c r="D1030" s="307"/>
      <c r="E1030" s="307"/>
      <c r="F1030" s="307"/>
      <c r="G1030" s="307"/>
      <c r="H1030" s="307"/>
      <c r="I1030" s="307"/>
      <c r="J1030" s="307"/>
      <c r="K1030" s="307"/>
      <c r="L1030" s="307"/>
      <c r="M1030" s="307"/>
    </row>
    <row r="1031" spans="2:13">
      <c r="B1031" s="505"/>
      <c r="C1031" s="307"/>
      <c r="D1031" s="307"/>
      <c r="E1031" s="307"/>
      <c r="F1031" s="307"/>
      <c r="G1031" s="307"/>
      <c r="H1031" s="307"/>
      <c r="I1031" s="307"/>
      <c r="J1031" s="307"/>
      <c r="K1031" s="307"/>
      <c r="L1031" s="307"/>
      <c r="M1031" s="307"/>
    </row>
    <row r="1032" spans="2:13">
      <c r="B1032" s="505"/>
      <c r="C1032" s="307"/>
      <c r="D1032" s="307"/>
      <c r="E1032" s="307"/>
      <c r="F1032" s="307"/>
      <c r="G1032" s="307"/>
      <c r="H1032" s="307"/>
      <c r="I1032" s="307"/>
      <c r="J1032" s="307"/>
      <c r="K1032" s="307"/>
      <c r="L1032" s="307"/>
      <c r="M1032" s="307"/>
    </row>
    <row r="1033" spans="2:13">
      <c r="B1033" s="505"/>
      <c r="C1033" s="307"/>
      <c r="D1033" s="307"/>
      <c r="E1033" s="307"/>
      <c r="F1033" s="307"/>
      <c r="G1033" s="307"/>
      <c r="H1033" s="307"/>
      <c r="I1033" s="307"/>
      <c r="J1033" s="307"/>
      <c r="K1033" s="307"/>
      <c r="L1033" s="307"/>
      <c r="M1033" s="307"/>
    </row>
    <row r="1034" spans="2:13">
      <c r="B1034" s="505"/>
      <c r="C1034" s="307"/>
      <c r="D1034" s="307"/>
      <c r="E1034" s="307"/>
      <c r="F1034" s="307"/>
      <c r="G1034" s="307"/>
      <c r="H1034" s="307"/>
      <c r="I1034" s="307"/>
      <c r="J1034" s="307"/>
      <c r="K1034" s="307"/>
      <c r="L1034" s="307"/>
      <c r="M1034" s="307"/>
    </row>
    <row r="1035" spans="2:13">
      <c r="B1035" s="505"/>
      <c r="C1035" s="307"/>
      <c r="D1035" s="307"/>
      <c r="E1035" s="307"/>
      <c r="F1035" s="307"/>
      <c r="G1035" s="307"/>
      <c r="H1035" s="307"/>
      <c r="I1035" s="307"/>
      <c r="J1035" s="307"/>
      <c r="K1035" s="307"/>
      <c r="L1035" s="307"/>
      <c r="M1035" s="307"/>
    </row>
    <row r="1036" spans="2:13">
      <c r="B1036" s="505"/>
      <c r="C1036" s="307"/>
      <c r="D1036" s="307"/>
      <c r="E1036" s="307"/>
      <c r="F1036" s="307"/>
      <c r="G1036" s="307"/>
      <c r="H1036" s="307"/>
      <c r="I1036" s="307"/>
      <c r="J1036" s="307"/>
      <c r="K1036" s="307"/>
      <c r="L1036" s="307"/>
      <c r="M1036" s="307"/>
    </row>
    <row r="1037" spans="2:13">
      <c r="B1037" s="505"/>
      <c r="C1037" s="307"/>
      <c r="D1037" s="307"/>
      <c r="E1037" s="307"/>
      <c r="F1037" s="307"/>
      <c r="G1037" s="307"/>
      <c r="H1037" s="307"/>
      <c r="I1037" s="307"/>
      <c r="J1037" s="307"/>
      <c r="K1037" s="307"/>
      <c r="L1037" s="307"/>
      <c r="M1037" s="307"/>
    </row>
    <row r="1038" spans="2:13">
      <c r="B1038" s="505"/>
      <c r="C1038" s="307"/>
      <c r="D1038" s="307"/>
      <c r="E1038" s="307"/>
      <c r="F1038" s="307"/>
      <c r="G1038" s="307"/>
      <c r="H1038" s="307"/>
      <c r="I1038" s="307"/>
      <c r="J1038" s="307"/>
      <c r="K1038" s="307"/>
      <c r="L1038" s="307"/>
      <c r="M1038" s="307"/>
    </row>
    <row r="1039" spans="2:13">
      <c r="B1039" s="505"/>
      <c r="C1039" s="307"/>
      <c r="D1039" s="307"/>
      <c r="E1039" s="307"/>
      <c r="F1039" s="307"/>
      <c r="G1039" s="307"/>
      <c r="H1039" s="307"/>
      <c r="I1039" s="307"/>
      <c r="J1039" s="307"/>
      <c r="K1039" s="307"/>
      <c r="L1039" s="307"/>
      <c r="M1039" s="307"/>
    </row>
    <row r="1040" spans="2:13">
      <c r="B1040" s="505"/>
      <c r="C1040" s="307"/>
      <c r="D1040" s="307"/>
      <c r="E1040" s="307"/>
      <c r="F1040" s="307"/>
      <c r="G1040" s="307"/>
      <c r="H1040" s="307"/>
      <c r="I1040" s="307"/>
      <c r="J1040" s="307"/>
      <c r="K1040" s="307"/>
      <c r="L1040" s="307"/>
      <c r="M1040" s="307"/>
    </row>
    <row r="1041" spans="2:13">
      <c r="B1041" s="505"/>
      <c r="C1041" s="307"/>
      <c r="D1041" s="307"/>
      <c r="E1041" s="307"/>
      <c r="F1041" s="307"/>
      <c r="G1041" s="307"/>
      <c r="H1041" s="307"/>
      <c r="I1041" s="307"/>
      <c r="J1041" s="307"/>
      <c r="K1041" s="307"/>
      <c r="L1041" s="307"/>
      <c r="M1041" s="307"/>
    </row>
    <row r="1042" spans="2:13">
      <c r="B1042" s="505"/>
      <c r="C1042" s="307"/>
      <c r="D1042" s="307"/>
      <c r="E1042" s="307"/>
      <c r="F1042" s="307"/>
      <c r="G1042" s="307"/>
      <c r="H1042" s="307"/>
      <c r="I1042" s="307"/>
      <c r="J1042" s="307"/>
      <c r="K1042" s="307"/>
      <c r="L1042" s="307"/>
      <c r="M1042" s="307"/>
    </row>
    <row r="1043" spans="2:13">
      <c r="B1043" s="505"/>
      <c r="C1043" s="307"/>
      <c r="D1043" s="307"/>
      <c r="E1043" s="307"/>
      <c r="F1043" s="307"/>
      <c r="G1043" s="307"/>
      <c r="H1043" s="307"/>
      <c r="I1043" s="307"/>
      <c r="J1043" s="307"/>
      <c r="K1043" s="307"/>
      <c r="L1043" s="307"/>
      <c r="M1043" s="307"/>
    </row>
    <row r="1044" spans="2:13">
      <c r="B1044" s="505"/>
      <c r="C1044" s="307"/>
      <c r="D1044" s="307"/>
      <c r="E1044" s="307"/>
      <c r="F1044" s="307"/>
      <c r="G1044" s="307"/>
      <c r="H1044" s="307"/>
      <c r="I1044" s="307"/>
      <c r="J1044" s="307"/>
      <c r="K1044" s="307"/>
      <c r="L1044" s="307"/>
      <c r="M1044" s="307"/>
    </row>
    <row r="1045" spans="2:13">
      <c r="B1045" s="505"/>
      <c r="C1045" s="307"/>
      <c r="D1045" s="307"/>
      <c r="E1045" s="307"/>
      <c r="F1045" s="307"/>
      <c r="G1045" s="307"/>
      <c r="H1045" s="307"/>
      <c r="I1045" s="307"/>
      <c r="J1045" s="307"/>
      <c r="K1045" s="307"/>
      <c r="L1045" s="307"/>
      <c r="M1045" s="307"/>
    </row>
    <row r="1046" spans="2:13">
      <c r="B1046" s="505"/>
      <c r="C1046" s="307"/>
      <c r="D1046" s="307"/>
      <c r="E1046" s="307"/>
      <c r="F1046" s="307"/>
      <c r="G1046" s="307"/>
      <c r="H1046" s="307"/>
      <c r="I1046" s="307"/>
      <c r="J1046" s="307"/>
      <c r="K1046" s="307"/>
      <c r="L1046" s="307"/>
      <c r="M1046" s="307"/>
    </row>
    <row r="1047" spans="2:13">
      <c r="B1047" s="505"/>
      <c r="C1047" s="307"/>
      <c r="D1047" s="307"/>
      <c r="E1047" s="307"/>
      <c r="F1047" s="307"/>
      <c r="G1047" s="307"/>
      <c r="H1047" s="307"/>
      <c r="I1047" s="307"/>
      <c r="J1047" s="307"/>
      <c r="K1047" s="307"/>
      <c r="L1047" s="307"/>
      <c r="M1047" s="307"/>
    </row>
    <row r="1048" spans="2:13">
      <c r="B1048" s="505"/>
      <c r="C1048" s="307"/>
      <c r="D1048" s="307"/>
      <c r="E1048" s="307"/>
      <c r="F1048" s="307"/>
      <c r="G1048" s="307"/>
      <c r="H1048" s="307"/>
      <c r="I1048" s="307"/>
      <c r="J1048" s="307"/>
      <c r="K1048" s="307"/>
      <c r="L1048" s="307"/>
      <c r="M1048" s="307"/>
    </row>
    <row r="1049" spans="2:13">
      <c r="B1049" s="505"/>
      <c r="C1049" s="307"/>
      <c r="D1049" s="307"/>
      <c r="E1049" s="307"/>
      <c r="F1049" s="307"/>
      <c r="G1049" s="307"/>
      <c r="H1049" s="307"/>
      <c r="I1049" s="307"/>
      <c r="J1049" s="307"/>
      <c r="K1049" s="307"/>
      <c r="L1049" s="307"/>
      <c r="M1049" s="307"/>
    </row>
    <row r="1050" spans="2:13">
      <c r="B1050" s="505"/>
      <c r="C1050" s="307"/>
      <c r="D1050" s="307"/>
      <c r="E1050" s="307"/>
      <c r="F1050" s="307"/>
      <c r="G1050" s="307"/>
      <c r="H1050" s="307"/>
      <c r="I1050" s="307"/>
      <c r="J1050" s="307"/>
      <c r="K1050" s="307"/>
      <c r="L1050" s="307"/>
      <c r="M1050" s="307"/>
    </row>
    <row r="1051" spans="2:13">
      <c r="B1051" s="505"/>
      <c r="C1051" s="307"/>
      <c r="D1051" s="307"/>
      <c r="E1051" s="307"/>
      <c r="F1051" s="307"/>
      <c r="G1051" s="307"/>
      <c r="H1051" s="307"/>
      <c r="I1051" s="307"/>
      <c r="J1051" s="307"/>
      <c r="K1051" s="307"/>
      <c r="L1051" s="307"/>
      <c r="M1051" s="307"/>
    </row>
    <row r="1052" spans="2:13">
      <c r="B1052" s="505"/>
      <c r="C1052" s="307"/>
      <c r="D1052" s="307"/>
      <c r="E1052" s="307"/>
      <c r="F1052" s="307"/>
      <c r="G1052" s="307"/>
      <c r="H1052" s="307"/>
      <c r="I1052" s="307"/>
      <c r="J1052" s="307"/>
      <c r="K1052" s="307"/>
      <c r="L1052" s="307"/>
      <c r="M1052" s="307"/>
    </row>
    <row r="1053" spans="2:13">
      <c r="B1053" s="505"/>
      <c r="C1053" s="307"/>
      <c r="D1053" s="307"/>
      <c r="E1053" s="307"/>
      <c r="F1053" s="307"/>
      <c r="G1053" s="307"/>
      <c r="H1053" s="307"/>
      <c r="I1053" s="307"/>
      <c r="J1053" s="307"/>
      <c r="K1053" s="307"/>
      <c r="L1053" s="307"/>
      <c r="M1053" s="307"/>
    </row>
    <row r="1054" spans="2:13">
      <c r="B1054" s="505"/>
      <c r="C1054" s="307"/>
      <c r="D1054" s="307"/>
      <c r="E1054" s="307"/>
      <c r="F1054" s="307"/>
      <c r="G1054" s="307"/>
      <c r="H1054" s="307"/>
      <c r="I1054" s="307"/>
      <c r="J1054" s="307"/>
      <c r="K1054" s="307"/>
      <c r="L1054" s="307"/>
      <c r="M1054" s="307"/>
    </row>
    <row r="1055" spans="2:13">
      <c r="B1055" s="505"/>
      <c r="C1055" s="307"/>
      <c r="D1055" s="307"/>
      <c r="E1055" s="307"/>
      <c r="F1055" s="307"/>
      <c r="G1055" s="307"/>
      <c r="H1055" s="307"/>
      <c r="I1055" s="307"/>
      <c r="J1055" s="307"/>
      <c r="K1055" s="307"/>
      <c r="L1055" s="307"/>
      <c r="M1055" s="307"/>
    </row>
    <row r="1056" spans="2:13">
      <c r="B1056" s="505"/>
      <c r="C1056" s="307"/>
      <c r="D1056" s="307"/>
      <c r="E1056" s="307"/>
      <c r="F1056" s="307"/>
      <c r="G1056" s="307"/>
      <c r="H1056" s="307"/>
      <c r="I1056" s="307"/>
      <c r="J1056" s="307"/>
      <c r="K1056" s="307"/>
      <c r="L1056" s="307"/>
      <c r="M1056" s="307"/>
    </row>
    <row r="1057" spans="2:13">
      <c r="B1057" s="505"/>
      <c r="C1057" s="307"/>
      <c r="D1057" s="307"/>
      <c r="E1057" s="307"/>
      <c r="F1057" s="307"/>
      <c r="G1057" s="307"/>
      <c r="H1057" s="307"/>
      <c r="I1057" s="307"/>
      <c r="J1057" s="307"/>
      <c r="K1057" s="307"/>
      <c r="L1057" s="307"/>
      <c r="M1057" s="307"/>
    </row>
    <row r="1058" spans="2:13">
      <c r="B1058" s="505"/>
      <c r="C1058" s="307"/>
      <c r="D1058" s="307"/>
      <c r="E1058" s="307"/>
      <c r="F1058" s="307"/>
      <c r="G1058" s="307"/>
      <c r="H1058" s="307"/>
      <c r="I1058" s="307"/>
      <c r="J1058" s="307"/>
      <c r="K1058" s="307"/>
      <c r="L1058" s="307"/>
      <c r="M1058" s="307"/>
    </row>
    <row r="1059" spans="2:13">
      <c r="B1059" s="505"/>
      <c r="C1059" s="307"/>
      <c r="D1059" s="307"/>
      <c r="E1059" s="307"/>
      <c r="F1059" s="307"/>
      <c r="G1059" s="307"/>
      <c r="H1059" s="307"/>
      <c r="I1059" s="307"/>
      <c r="J1059" s="307"/>
      <c r="K1059" s="307"/>
      <c r="L1059" s="307"/>
      <c r="M1059" s="307"/>
    </row>
    <row r="1060" spans="2:13">
      <c r="B1060" s="505"/>
      <c r="C1060" s="307"/>
      <c r="D1060" s="307"/>
      <c r="E1060" s="307"/>
      <c r="F1060" s="307"/>
      <c r="G1060" s="307"/>
      <c r="H1060" s="307"/>
      <c r="I1060" s="307"/>
      <c r="J1060" s="307"/>
      <c r="K1060" s="307"/>
      <c r="L1060" s="307"/>
      <c r="M1060" s="307"/>
    </row>
    <row r="1061" spans="2:13">
      <c r="B1061" s="505"/>
      <c r="C1061" s="307"/>
      <c r="D1061" s="307"/>
      <c r="E1061" s="307"/>
      <c r="F1061" s="307"/>
      <c r="G1061" s="307"/>
      <c r="H1061" s="307"/>
      <c r="I1061" s="307"/>
      <c r="J1061" s="307"/>
      <c r="K1061" s="307"/>
      <c r="L1061" s="307"/>
      <c r="M1061" s="307"/>
    </row>
    <row r="1062" spans="2:13">
      <c r="B1062" s="505"/>
      <c r="C1062" s="307"/>
      <c r="D1062" s="307"/>
      <c r="E1062" s="307"/>
      <c r="F1062" s="307"/>
      <c r="G1062" s="307"/>
      <c r="H1062" s="307"/>
      <c r="I1062" s="307"/>
      <c r="J1062" s="307"/>
      <c r="K1062" s="307"/>
      <c r="L1062" s="307"/>
      <c r="M1062" s="307"/>
    </row>
    <row r="1063" spans="2:13">
      <c r="B1063" s="505"/>
      <c r="C1063" s="307"/>
      <c r="D1063" s="307"/>
      <c r="E1063" s="307"/>
      <c r="F1063" s="307"/>
      <c r="G1063" s="307"/>
      <c r="H1063" s="307"/>
      <c r="I1063" s="307"/>
      <c r="J1063" s="307"/>
      <c r="K1063" s="307"/>
      <c r="L1063" s="307"/>
      <c r="M1063" s="307"/>
    </row>
    <row r="1064" spans="2:13">
      <c r="B1064" s="505"/>
      <c r="C1064" s="307"/>
      <c r="D1064" s="307"/>
      <c r="E1064" s="307"/>
      <c r="F1064" s="307"/>
      <c r="G1064" s="307"/>
      <c r="H1064" s="307"/>
      <c r="I1064" s="307"/>
      <c r="J1064" s="307"/>
      <c r="K1064" s="307"/>
      <c r="L1064" s="307"/>
      <c r="M1064" s="307"/>
    </row>
    <row r="1065" spans="2:13">
      <c r="B1065" s="505"/>
      <c r="C1065" s="307"/>
      <c r="D1065" s="307"/>
      <c r="E1065" s="307"/>
      <c r="F1065" s="307"/>
      <c r="G1065" s="307"/>
      <c r="H1065" s="307"/>
      <c r="I1065" s="307"/>
      <c r="J1065" s="307"/>
      <c r="K1065" s="307"/>
      <c r="L1065" s="307"/>
      <c r="M1065" s="307"/>
    </row>
    <row r="1066" spans="2:13">
      <c r="B1066" s="505"/>
      <c r="C1066" s="307"/>
      <c r="D1066" s="307"/>
      <c r="E1066" s="307"/>
      <c r="F1066" s="307"/>
      <c r="G1066" s="307"/>
      <c r="H1066" s="307"/>
      <c r="I1066" s="307"/>
      <c r="J1066" s="307"/>
      <c r="K1066" s="307"/>
      <c r="L1066" s="307"/>
      <c r="M1066" s="307"/>
    </row>
    <row r="1067" spans="2:13">
      <c r="B1067" s="505"/>
      <c r="C1067" s="307"/>
      <c r="D1067" s="307"/>
      <c r="E1067" s="307"/>
      <c r="F1067" s="307"/>
      <c r="G1067" s="307"/>
      <c r="H1067" s="307"/>
      <c r="I1067" s="307"/>
      <c r="J1067" s="307"/>
      <c r="K1067" s="307"/>
      <c r="L1067" s="307"/>
      <c r="M1067" s="307"/>
    </row>
    <row r="1068" spans="2:13">
      <c r="B1068" s="505"/>
      <c r="C1068" s="307"/>
      <c r="D1068" s="307"/>
      <c r="E1068" s="307"/>
      <c r="F1068" s="307"/>
      <c r="G1068" s="307"/>
      <c r="H1068" s="307"/>
      <c r="I1068" s="307"/>
      <c r="J1068" s="307"/>
      <c r="K1068" s="307"/>
      <c r="L1068" s="307"/>
      <c r="M1068" s="307"/>
    </row>
    <row r="1069" spans="2:13">
      <c r="B1069" s="505"/>
      <c r="C1069" s="307"/>
      <c r="D1069" s="307"/>
      <c r="E1069" s="307"/>
      <c r="F1069" s="307"/>
      <c r="G1069" s="307"/>
      <c r="H1069" s="307"/>
      <c r="I1069" s="307"/>
      <c r="J1069" s="307"/>
      <c r="K1069" s="307"/>
      <c r="L1069" s="307"/>
      <c r="M1069" s="307"/>
    </row>
    <row r="1070" spans="2:13">
      <c r="B1070" s="505"/>
      <c r="C1070" s="307"/>
      <c r="D1070" s="307"/>
      <c r="E1070" s="307"/>
      <c r="F1070" s="307"/>
      <c r="G1070" s="307"/>
      <c r="H1070" s="307"/>
      <c r="I1070" s="307"/>
      <c r="J1070" s="307"/>
      <c r="K1070" s="307"/>
      <c r="L1070" s="307"/>
      <c r="M1070" s="307"/>
    </row>
    <row r="1071" spans="2:13">
      <c r="B1071" s="505"/>
      <c r="C1071" s="307"/>
      <c r="D1071" s="307"/>
      <c r="E1071" s="307"/>
      <c r="F1071" s="307"/>
      <c r="G1071" s="307"/>
      <c r="H1071" s="307"/>
      <c r="I1071" s="307"/>
      <c r="J1071" s="307"/>
      <c r="K1071" s="307"/>
      <c r="L1071" s="307"/>
      <c r="M1071" s="307"/>
    </row>
    <row r="1072" spans="2:13">
      <c r="B1072" s="505"/>
      <c r="C1072" s="307"/>
      <c r="D1072" s="307"/>
      <c r="E1072" s="307"/>
      <c r="F1072" s="307"/>
      <c r="G1072" s="307"/>
      <c r="H1072" s="307"/>
      <c r="I1072" s="307"/>
      <c r="J1072" s="307"/>
      <c r="K1072" s="307"/>
      <c r="L1072" s="307"/>
      <c r="M1072" s="307"/>
    </row>
    <row r="1073" spans="2:13">
      <c r="B1073" s="505"/>
      <c r="C1073" s="307"/>
      <c r="D1073" s="307"/>
      <c r="E1073" s="307"/>
      <c r="F1073" s="307"/>
      <c r="G1073" s="307"/>
      <c r="H1073" s="307"/>
      <c r="I1073" s="307"/>
      <c r="J1073" s="307"/>
      <c r="K1073" s="307"/>
      <c r="L1073" s="307"/>
      <c r="M1073" s="307"/>
    </row>
    <row r="1074" spans="2:13">
      <c r="B1074" s="505"/>
      <c r="C1074" s="307"/>
      <c r="D1074" s="307"/>
      <c r="E1074" s="307"/>
      <c r="F1074" s="307"/>
      <c r="G1074" s="307"/>
      <c r="H1074" s="307"/>
      <c r="I1074" s="307"/>
      <c r="J1074" s="307"/>
      <c r="K1074" s="307"/>
      <c r="L1074" s="307"/>
      <c r="M1074" s="307"/>
    </row>
    <row r="1075" spans="2:13">
      <c r="B1075" s="505"/>
      <c r="C1075" s="307"/>
      <c r="D1075" s="307"/>
      <c r="E1075" s="307"/>
      <c r="F1075" s="307"/>
      <c r="G1075" s="307"/>
      <c r="H1075" s="307"/>
      <c r="I1075" s="307"/>
      <c r="J1075" s="307"/>
      <c r="K1075" s="307"/>
      <c r="L1075" s="307"/>
      <c r="M1075" s="307"/>
    </row>
    <row r="1076" spans="2:13">
      <c r="B1076" s="505"/>
      <c r="C1076" s="307"/>
      <c r="D1076" s="307"/>
      <c r="E1076" s="307"/>
      <c r="F1076" s="307"/>
      <c r="G1076" s="307"/>
      <c r="H1076" s="307"/>
      <c r="I1076" s="307"/>
      <c r="J1076" s="307"/>
      <c r="K1076" s="307"/>
      <c r="L1076" s="307"/>
      <c r="M1076" s="307"/>
    </row>
    <row r="1077" spans="2:13">
      <c r="B1077" s="505"/>
      <c r="C1077" s="307"/>
      <c r="D1077" s="307"/>
      <c r="E1077" s="307"/>
      <c r="F1077" s="307"/>
      <c r="G1077" s="307"/>
      <c r="H1077" s="307"/>
      <c r="I1077" s="307"/>
      <c r="J1077" s="307"/>
      <c r="K1077" s="307"/>
      <c r="L1077" s="307"/>
      <c r="M1077" s="307"/>
    </row>
    <row r="1078" spans="2:13">
      <c r="B1078" s="505"/>
      <c r="C1078" s="307"/>
      <c r="D1078" s="307"/>
      <c r="E1078" s="307"/>
      <c r="F1078" s="307"/>
      <c r="G1078" s="307"/>
      <c r="H1078" s="307"/>
      <c r="I1078" s="307"/>
      <c r="J1078" s="307"/>
      <c r="K1078" s="307"/>
      <c r="L1078" s="307"/>
      <c r="M1078" s="307"/>
    </row>
    <row r="1079" spans="2:13">
      <c r="B1079" s="505"/>
      <c r="C1079" s="307"/>
      <c r="D1079" s="307"/>
      <c r="E1079" s="307"/>
      <c r="F1079" s="307"/>
      <c r="G1079" s="307"/>
      <c r="H1079" s="307"/>
      <c r="I1079" s="307"/>
      <c r="J1079" s="307"/>
      <c r="K1079" s="307"/>
      <c r="L1079" s="307"/>
      <c r="M1079" s="307"/>
    </row>
    <row r="1080" spans="2:13">
      <c r="B1080" s="505"/>
      <c r="C1080" s="307"/>
      <c r="D1080" s="307"/>
      <c r="E1080" s="307"/>
      <c r="F1080" s="307"/>
      <c r="G1080" s="307"/>
      <c r="H1080" s="307"/>
      <c r="I1080" s="307"/>
      <c r="J1080" s="307"/>
      <c r="K1080" s="307"/>
      <c r="L1080" s="307"/>
      <c r="M1080" s="307"/>
    </row>
    <row r="1081" spans="2:13">
      <c r="B1081" s="505"/>
      <c r="C1081" s="307"/>
      <c r="D1081" s="307"/>
      <c r="E1081" s="307"/>
      <c r="F1081" s="307"/>
      <c r="G1081" s="307"/>
      <c r="H1081" s="307"/>
      <c r="I1081" s="307"/>
      <c r="J1081" s="307"/>
      <c r="K1081" s="307"/>
      <c r="L1081" s="307"/>
      <c r="M1081" s="307"/>
    </row>
    <row r="1082" spans="2:13">
      <c r="B1082" s="505"/>
      <c r="C1082" s="307"/>
      <c r="D1082" s="307"/>
      <c r="E1082" s="307"/>
      <c r="F1082" s="307"/>
      <c r="G1082" s="307"/>
      <c r="H1082" s="307"/>
      <c r="I1082" s="307"/>
      <c r="J1082" s="307"/>
      <c r="K1082" s="307"/>
      <c r="L1082" s="307"/>
      <c r="M1082" s="307"/>
    </row>
    <row r="1083" spans="2:13">
      <c r="B1083" s="505"/>
      <c r="C1083" s="307"/>
      <c r="D1083" s="307"/>
      <c r="E1083" s="307"/>
      <c r="F1083" s="307"/>
      <c r="G1083" s="307"/>
      <c r="H1083" s="307"/>
      <c r="I1083" s="307"/>
      <c r="J1083" s="307"/>
      <c r="K1083" s="307"/>
      <c r="L1083" s="307"/>
      <c r="M1083" s="307"/>
    </row>
    <row r="1084" spans="2:13">
      <c r="B1084" s="505"/>
      <c r="C1084" s="307"/>
      <c r="D1084" s="307"/>
      <c r="E1084" s="307"/>
      <c r="F1084" s="307"/>
      <c r="G1084" s="307"/>
      <c r="H1084" s="307"/>
      <c r="I1084" s="307"/>
      <c r="J1084" s="307"/>
      <c r="K1084" s="307"/>
      <c r="L1084" s="307"/>
      <c r="M1084" s="307"/>
    </row>
    <row r="1085" spans="2:13">
      <c r="B1085" s="505"/>
      <c r="C1085" s="307"/>
      <c r="D1085" s="307"/>
      <c r="E1085" s="307"/>
      <c r="F1085" s="307"/>
      <c r="G1085" s="307"/>
      <c r="H1085" s="307"/>
      <c r="I1085" s="307"/>
      <c r="J1085" s="307"/>
      <c r="K1085" s="307"/>
      <c r="L1085" s="307"/>
      <c r="M1085" s="307"/>
    </row>
    <row r="1086" spans="2:13">
      <c r="B1086" s="505"/>
      <c r="C1086" s="307"/>
      <c r="D1086" s="307"/>
      <c r="E1086" s="307"/>
      <c r="F1086" s="307"/>
      <c r="G1086" s="307"/>
      <c r="H1086" s="307"/>
      <c r="I1086" s="307"/>
      <c r="J1086" s="307"/>
      <c r="K1086" s="307"/>
      <c r="L1086" s="307"/>
      <c r="M1086" s="307"/>
    </row>
    <row r="1087" spans="2:13">
      <c r="B1087" s="505"/>
      <c r="C1087" s="307"/>
      <c r="D1087" s="307"/>
      <c r="E1087" s="307"/>
      <c r="F1087" s="307"/>
      <c r="G1087" s="307"/>
      <c r="H1087" s="307"/>
      <c r="I1087" s="307"/>
      <c r="J1087" s="307"/>
      <c r="K1087" s="307"/>
      <c r="L1087" s="307"/>
      <c r="M1087" s="307"/>
    </row>
    <row r="1088" spans="2:13">
      <c r="B1088" s="505"/>
      <c r="C1088" s="307"/>
      <c r="D1088" s="307"/>
      <c r="E1088" s="307"/>
      <c r="F1088" s="307"/>
      <c r="G1088" s="307"/>
      <c r="H1088" s="307"/>
      <c r="I1088" s="307"/>
      <c r="J1088" s="307"/>
      <c r="K1088" s="307"/>
      <c r="L1088" s="307"/>
      <c r="M1088" s="307"/>
    </row>
    <row r="1089" spans="2:13">
      <c r="B1089" s="505"/>
      <c r="C1089" s="307"/>
      <c r="D1089" s="307"/>
      <c r="E1089" s="307"/>
      <c r="F1089" s="307"/>
      <c r="G1089" s="307"/>
      <c r="H1089" s="307"/>
      <c r="I1089" s="307"/>
      <c r="J1089" s="307"/>
      <c r="K1089" s="307"/>
      <c r="L1089" s="307"/>
      <c r="M1089" s="307"/>
    </row>
    <row r="1090" spans="2:13">
      <c r="B1090" s="505"/>
      <c r="C1090" s="307"/>
      <c r="D1090" s="307"/>
      <c r="E1090" s="307"/>
      <c r="F1090" s="307"/>
      <c r="G1090" s="307"/>
      <c r="H1090" s="307"/>
      <c r="I1090" s="307"/>
      <c r="J1090" s="307"/>
      <c r="K1090" s="307"/>
      <c r="L1090" s="307"/>
      <c r="M1090" s="307"/>
    </row>
    <row r="1091" spans="2:13">
      <c r="B1091" s="505"/>
      <c r="C1091" s="307"/>
      <c r="D1091" s="307"/>
      <c r="E1091" s="307"/>
      <c r="F1091" s="307"/>
      <c r="G1091" s="307"/>
      <c r="H1091" s="307"/>
      <c r="I1091" s="307"/>
      <c r="J1091" s="307"/>
      <c r="K1091" s="307"/>
      <c r="L1091" s="307"/>
      <c r="M1091" s="307"/>
    </row>
    <row r="1092" spans="2:13">
      <c r="B1092" s="505"/>
      <c r="C1092" s="307"/>
      <c r="D1092" s="307"/>
      <c r="E1092" s="307"/>
      <c r="F1092" s="307"/>
      <c r="G1092" s="307"/>
      <c r="H1092" s="307"/>
      <c r="I1092" s="307"/>
      <c r="J1092" s="307"/>
      <c r="K1092" s="307"/>
      <c r="L1092" s="307"/>
      <c r="M1092" s="307"/>
    </row>
    <row r="1093" spans="2:13">
      <c r="B1093" s="505"/>
      <c r="C1093" s="307"/>
      <c r="D1093" s="307"/>
      <c r="E1093" s="307"/>
      <c r="F1093" s="307"/>
      <c r="G1093" s="307"/>
      <c r="H1093" s="307"/>
      <c r="I1093" s="307"/>
      <c r="J1093" s="307"/>
      <c r="K1093" s="307"/>
      <c r="L1093" s="307"/>
      <c r="M1093" s="307"/>
    </row>
    <row r="1094" spans="2:13">
      <c r="B1094" s="505"/>
      <c r="C1094" s="307"/>
      <c r="D1094" s="307"/>
      <c r="E1094" s="307"/>
      <c r="F1094" s="307"/>
      <c r="G1094" s="307"/>
      <c r="H1094" s="307"/>
      <c r="I1094" s="307"/>
      <c r="J1094" s="307"/>
      <c r="K1094" s="307"/>
      <c r="L1094" s="307"/>
      <c r="M1094" s="307"/>
    </row>
    <row r="1095" spans="2:13">
      <c r="B1095" s="505"/>
      <c r="C1095" s="307"/>
      <c r="D1095" s="307"/>
      <c r="E1095" s="307"/>
      <c r="F1095" s="307"/>
      <c r="G1095" s="307"/>
      <c r="H1095" s="307"/>
      <c r="I1095" s="307"/>
      <c r="J1095" s="307"/>
      <c r="K1095" s="307"/>
      <c r="L1095" s="307"/>
      <c r="M1095" s="307"/>
    </row>
    <row r="1096" spans="2:13">
      <c r="B1096" s="505"/>
      <c r="C1096" s="307"/>
      <c r="D1096" s="307"/>
      <c r="E1096" s="307"/>
      <c r="F1096" s="307"/>
      <c r="G1096" s="307"/>
      <c r="H1096" s="307"/>
      <c r="I1096" s="307"/>
      <c r="J1096" s="307"/>
      <c r="K1096" s="307"/>
      <c r="L1096" s="307"/>
      <c r="M1096" s="307"/>
    </row>
    <row r="1097" spans="2:13">
      <c r="B1097" s="505"/>
      <c r="C1097" s="307"/>
      <c r="D1097" s="307"/>
      <c r="E1097" s="307"/>
      <c r="F1097" s="307"/>
      <c r="G1097" s="307"/>
      <c r="H1097" s="307"/>
      <c r="I1097" s="307"/>
      <c r="J1097" s="307"/>
      <c r="K1097" s="307"/>
      <c r="L1097" s="307"/>
      <c r="M1097" s="307"/>
    </row>
    <row r="1098" spans="2:13">
      <c r="B1098" s="505"/>
      <c r="C1098" s="307"/>
      <c r="D1098" s="307"/>
      <c r="E1098" s="307"/>
      <c r="F1098" s="307"/>
      <c r="G1098" s="307"/>
      <c r="H1098" s="307"/>
      <c r="I1098" s="307"/>
      <c r="J1098" s="307"/>
      <c r="K1098" s="307"/>
      <c r="L1098" s="307"/>
      <c r="M1098" s="307"/>
    </row>
    <row r="1099" spans="2:13">
      <c r="B1099" s="505"/>
      <c r="C1099" s="307"/>
      <c r="D1099" s="307"/>
      <c r="E1099" s="307"/>
      <c r="F1099" s="307"/>
      <c r="G1099" s="307"/>
      <c r="H1099" s="307"/>
      <c r="I1099" s="307"/>
      <c r="J1099" s="307"/>
      <c r="K1099" s="307"/>
      <c r="L1099" s="307"/>
      <c r="M1099" s="307"/>
    </row>
    <row r="1100" spans="2:13">
      <c r="B1100" s="505"/>
      <c r="C1100" s="307"/>
      <c r="D1100" s="307"/>
      <c r="E1100" s="307"/>
      <c r="F1100" s="307"/>
      <c r="G1100" s="307"/>
      <c r="H1100" s="307"/>
      <c r="I1100" s="307"/>
      <c r="J1100" s="307"/>
      <c r="K1100" s="307"/>
      <c r="L1100" s="307"/>
      <c r="M1100" s="307"/>
    </row>
    <row r="1101" spans="2:13">
      <c r="B1101" s="505"/>
      <c r="C1101" s="307"/>
      <c r="D1101" s="307"/>
      <c r="E1101" s="307"/>
      <c r="F1101" s="307"/>
      <c r="G1101" s="307"/>
      <c r="H1101" s="307"/>
      <c r="I1101" s="307"/>
      <c r="J1101" s="307"/>
      <c r="K1101" s="307"/>
      <c r="L1101" s="307"/>
      <c r="M1101" s="307"/>
    </row>
    <row r="1102" spans="2:13">
      <c r="B1102" s="505"/>
      <c r="C1102" s="307"/>
      <c r="D1102" s="307"/>
      <c r="E1102" s="307"/>
      <c r="F1102" s="307"/>
      <c r="G1102" s="307"/>
      <c r="H1102" s="307"/>
      <c r="I1102" s="307"/>
      <c r="J1102" s="307"/>
      <c r="K1102" s="307"/>
      <c r="L1102" s="307"/>
      <c r="M1102" s="307"/>
    </row>
    <row r="1103" spans="2:13">
      <c r="B1103" s="505"/>
      <c r="C1103" s="307"/>
      <c r="D1103" s="307"/>
      <c r="E1103" s="307"/>
      <c r="F1103" s="307"/>
      <c r="G1103" s="307"/>
      <c r="H1103" s="307"/>
      <c r="I1103" s="307"/>
      <c r="J1103" s="307"/>
      <c r="K1103" s="307"/>
      <c r="L1103" s="307"/>
      <c r="M1103" s="307"/>
    </row>
    <row r="1104" spans="2:13">
      <c r="B1104" s="505"/>
      <c r="C1104" s="307"/>
      <c r="D1104" s="307"/>
      <c r="E1104" s="307"/>
      <c r="F1104" s="307"/>
      <c r="G1104" s="307"/>
      <c r="H1104" s="307"/>
      <c r="I1104" s="307"/>
      <c r="J1104" s="307"/>
      <c r="K1104" s="307"/>
      <c r="L1104" s="307"/>
      <c r="M1104" s="307"/>
    </row>
    <row r="1105" spans="2:13">
      <c r="B1105" s="505"/>
      <c r="C1105" s="307"/>
      <c r="D1105" s="307"/>
      <c r="E1105" s="307"/>
      <c r="F1105" s="307"/>
      <c r="G1105" s="307"/>
      <c r="H1105" s="307"/>
      <c r="I1105" s="307"/>
      <c r="J1105" s="307"/>
      <c r="K1105" s="307"/>
      <c r="L1105" s="307"/>
      <c r="M1105" s="307"/>
    </row>
    <row r="1106" spans="2:13">
      <c r="B1106" s="505"/>
      <c r="C1106" s="307"/>
      <c r="D1106" s="307"/>
      <c r="E1106" s="307"/>
      <c r="F1106" s="307"/>
      <c r="G1106" s="307"/>
      <c r="H1106" s="307"/>
      <c r="I1106" s="307"/>
      <c r="J1106" s="307"/>
      <c r="K1106" s="307"/>
      <c r="L1106" s="307"/>
      <c r="M1106" s="307"/>
    </row>
    <row r="1107" spans="2:13">
      <c r="B1107" s="505"/>
      <c r="C1107" s="307"/>
      <c r="D1107" s="307"/>
      <c r="E1107" s="307"/>
      <c r="F1107" s="307"/>
      <c r="G1107" s="307"/>
      <c r="H1107" s="307"/>
      <c r="I1107" s="307"/>
      <c r="J1107" s="307"/>
      <c r="K1107" s="307"/>
      <c r="L1107" s="307"/>
      <c r="M1107" s="307"/>
    </row>
    <row r="1108" spans="2:13">
      <c r="B1108" s="505"/>
      <c r="C1108" s="307"/>
      <c r="D1108" s="307"/>
      <c r="E1108" s="307"/>
      <c r="F1108" s="307"/>
      <c r="G1108" s="307"/>
      <c r="H1108" s="307"/>
      <c r="I1108" s="307"/>
      <c r="J1108" s="307"/>
      <c r="K1108" s="307"/>
      <c r="L1108" s="307"/>
      <c r="M1108" s="307"/>
    </row>
    <row r="1109" spans="2:13">
      <c r="B1109" s="505"/>
      <c r="C1109" s="307"/>
      <c r="D1109" s="307"/>
      <c r="E1109" s="307"/>
      <c r="F1109" s="307"/>
      <c r="G1109" s="307"/>
      <c r="H1109" s="307"/>
      <c r="I1109" s="307"/>
      <c r="J1109" s="307"/>
      <c r="K1109" s="307"/>
      <c r="L1109" s="307"/>
      <c r="M1109" s="307"/>
    </row>
    <row r="1110" spans="2:13">
      <c r="B1110" s="505"/>
      <c r="C1110" s="307"/>
      <c r="D1110" s="307"/>
      <c r="E1110" s="307"/>
      <c r="F1110" s="307"/>
      <c r="G1110" s="307"/>
      <c r="H1110" s="307"/>
      <c r="I1110" s="307"/>
      <c r="J1110" s="307"/>
      <c r="K1110" s="307"/>
      <c r="L1110" s="307"/>
      <c r="M1110" s="307"/>
    </row>
    <row r="1111" spans="2:13">
      <c r="B1111" s="505"/>
      <c r="C1111" s="307"/>
      <c r="D1111" s="307"/>
      <c r="E1111" s="307"/>
      <c r="F1111" s="307"/>
      <c r="G1111" s="307"/>
      <c r="H1111" s="307"/>
      <c r="I1111" s="307"/>
      <c r="J1111" s="307"/>
      <c r="K1111" s="307"/>
      <c r="L1111" s="307"/>
      <c r="M1111" s="307"/>
    </row>
    <row r="1112" spans="2:13">
      <c r="B1112" s="505"/>
      <c r="C1112" s="307"/>
      <c r="D1112" s="307"/>
      <c r="E1112" s="307"/>
      <c r="F1112" s="307"/>
      <c r="G1112" s="307"/>
      <c r="H1112" s="307"/>
      <c r="I1112" s="307"/>
      <c r="J1112" s="307"/>
      <c r="K1112" s="307"/>
      <c r="L1112" s="307"/>
      <c r="M1112" s="307"/>
    </row>
    <row r="1113" spans="2:13">
      <c r="B1113" s="505"/>
      <c r="C1113" s="307"/>
      <c r="D1113" s="307"/>
      <c r="E1113" s="307"/>
      <c r="F1113" s="307"/>
      <c r="G1113" s="307"/>
      <c r="H1113" s="307"/>
      <c r="I1113" s="307"/>
      <c r="J1113" s="307"/>
      <c r="K1113" s="307"/>
      <c r="L1113" s="307"/>
      <c r="M1113" s="307"/>
    </row>
    <row r="1114" spans="2:13">
      <c r="B1114" s="505"/>
      <c r="C1114" s="307"/>
      <c r="D1114" s="307"/>
      <c r="E1114" s="307"/>
      <c r="F1114" s="307"/>
      <c r="G1114" s="307"/>
      <c r="H1114" s="307"/>
      <c r="I1114" s="307"/>
      <c r="J1114" s="307"/>
      <c r="K1114" s="307"/>
      <c r="L1114" s="307"/>
      <c r="M1114" s="307"/>
    </row>
    <row r="1115" spans="2:13">
      <c r="B1115" s="505"/>
      <c r="C1115" s="307"/>
      <c r="D1115" s="307"/>
      <c r="E1115" s="307"/>
      <c r="F1115" s="307"/>
      <c r="G1115" s="307"/>
      <c r="H1115" s="307"/>
      <c r="I1115" s="307"/>
      <c r="J1115" s="307"/>
      <c r="K1115" s="307"/>
      <c r="L1115" s="307"/>
      <c r="M1115" s="307"/>
    </row>
    <row r="1116" spans="2:13">
      <c r="B1116" s="505"/>
      <c r="C1116" s="307"/>
      <c r="D1116" s="307"/>
      <c r="E1116" s="307"/>
      <c r="F1116" s="307"/>
      <c r="G1116" s="307"/>
      <c r="H1116" s="307"/>
      <c r="I1116" s="307"/>
      <c r="J1116" s="307"/>
      <c r="K1116" s="307"/>
      <c r="L1116" s="307"/>
      <c r="M1116" s="307"/>
    </row>
    <row r="1117" spans="2:13">
      <c r="B1117" s="505"/>
      <c r="C1117" s="307"/>
      <c r="D1117" s="307"/>
      <c r="E1117" s="307"/>
      <c r="F1117" s="307"/>
      <c r="G1117" s="307"/>
      <c r="H1117" s="307"/>
      <c r="I1117" s="307"/>
      <c r="J1117" s="307"/>
      <c r="K1117" s="307"/>
      <c r="L1117" s="307"/>
      <c r="M1117" s="307"/>
    </row>
    <row r="1118" spans="2:13">
      <c r="B1118" s="505"/>
      <c r="C1118" s="307"/>
      <c r="D1118" s="307"/>
      <c r="E1118" s="307"/>
      <c r="F1118" s="307"/>
      <c r="G1118" s="307"/>
      <c r="H1118" s="307"/>
      <c r="I1118" s="307"/>
      <c r="J1118" s="307"/>
      <c r="K1118" s="307"/>
      <c r="L1118" s="307"/>
      <c r="M1118" s="307"/>
    </row>
    <row r="1119" spans="2:13">
      <c r="B1119" s="505"/>
      <c r="C1119" s="307"/>
      <c r="D1119" s="307"/>
      <c r="E1119" s="307"/>
      <c r="F1119" s="307"/>
      <c r="G1119" s="307"/>
      <c r="H1119" s="307"/>
      <c r="I1119" s="307"/>
      <c r="J1119" s="307"/>
      <c r="K1119" s="307"/>
      <c r="L1119" s="307"/>
      <c r="M1119" s="307"/>
    </row>
    <row r="1120" spans="2:13">
      <c r="B1120" s="505"/>
      <c r="C1120" s="307"/>
      <c r="D1120" s="307"/>
      <c r="E1120" s="307"/>
      <c r="F1120" s="307"/>
      <c r="G1120" s="307"/>
      <c r="H1120" s="307"/>
      <c r="I1120" s="307"/>
      <c r="J1120" s="307"/>
      <c r="K1120" s="307"/>
      <c r="L1120" s="307"/>
      <c r="M1120" s="307"/>
    </row>
    <row r="1121" spans="2:13">
      <c r="B1121" s="505"/>
      <c r="C1121" s="307"/>
      <c r="D1121" s="307"/>
      <c r="E1121" s="307"/>
      <c r="F1121" s="307"/>
      <c r="G1121" s="307"/>
      <c r="H1121" s="307"/>
      <c r="I1121" s="307"/>
      <c r="J1121" s="307"/>
      <c r="K1121" s="307"/>
      <c r="L1121" s="307"/>
      <c r="M1121" s="307"/>
    </row>
    <row r="1122" spans="2:13">
      <c r="B1122" s="505"/>
      <c r="C1122" s="307"/>
      <c r="D1122" s="307"/>
      <c r="E1122" s="307"/>
      <c r="F1122" s="307"/>
      <c r="G1122" s="307"/>
      <c r="H1122" s="307"/>
      <c r="I1122" s="307"/>
      <c r="J1122" s="307"/>
      <c r="K1122" s="307"/>
      <c r="L1122" s="307"/>
      <c r="M1122" s="307"/>
    </row>
    <row r="1123" spans="2:13">
      <c r="B1123" s="505"/>
      <c r="C1123" s="307"/>
      <c r="D1123" s="307"/>
      <c r="E1123" s="307"/>
      <c r="F1123" s="307"/>
      <c r="G1123" s="307"/>
      <c r="H1123" s="307"/>
      <c r="I1123" s="307"/>
      <c r="J1123" s="307"/>
      <c r="K1123" s="307"/>
      <c r="L1123" s="307"/>
      <c r="M1123" s="307"/>
    </row>
    <row r="1124" spans="2:13">
      <c r="B1124" s="505"/>
      <c r="C1124" s="307"/>
      <c r="D1124" s="307"/>
      <c r="E1124" s="307"/>
      <c r="F1124" s="307"/>
      <c r="G1124" s="307"/>
      <c r="H1124" s="307"/>
      <c r="I1124" s="307"/>
      <c r="J1124" s="307"/>
      <c r="K1124" s="307"/>
      <c r="L1124" s="307"/>
      <c r="M1124" s="307"/>
    </row>
    <row r="1125" spans="2:13">
      <c r="B1125" s="505"/>
      <c r="C1125" s="307"/>
      <c r="D1125" s="307"/>
      <c r="E1125" s="307"/>
      <c r="F1125" s="307"/>
      <c r="G1125" s="307"/>
      <c r="H1125" s="307"/>
      <c r="I1125" s="307"/>
      <c r="J1125" s="307"/>
      <c r="K1125" s="307"/>
      <c r="L1125" s="307"/>
      <c r="M1125" s="307"/>
    </row>
    <row r="1126" spans="2:13">
      <c r="B1126" s="505"/>
      <c r="C1126" s="307"/>
      <c r="D1126" s="307"/>
      <c r="E1126" s="307"/>
      <c r="F1126" s="307"/>
      <c r="G1126" s="307"/>
      <c r="H1126" s="307"/>
      <c r="I1126" s="307"/>
      <c r="J1126" s="307"/>
      <c r="K1126" s="307"/>
      <c r="L1126" s="307"/>
      <c r="M1126" s="307"/>
    </row>
    <row r="1127" spans="2:13">
      <c r="B1127" s="505"/>
      <c r="C1127" s="307"/>
      <c r="D1127" s="307"/>
      <c r="E1127" s="307"/>
      <c r="F1127" s="307"/>
      <c r="G1127" s="307"/>
      <c r="H1127" s="307"/>
      <c r="I1127" s="307"/>
      <c r="J1127" s="307"/>
      <c r="K1127" s="307"/>
      <c r="L1127" s="307"/>
      <c r="M1127" s="307"/>
    </row>
    <row r="1128" spans="2:13">
      <c r="B1128" s="505"/>
      <c r="C1128" s="307"/>
      <c r="D1128" s="307"/>
      <c r="E1128" s="307"/>
      <c r="F1128" s="307"/>
      <c r="G1128" s="307"/>
      <c r="H1128" s="307"/>
      <c r="I1128" s="307"/>
      <c r="J1128" s="307"/>
      <c r="K1128" s="307"/>
      <c r="L1128" s="307"/>
      <c r="M1128" s="307"/>
    </row>
    <row r="1129" spans="2:13">
      <c r="B1129" s="505"/>
      <c r="C1129" s="307"/>
      <c r="D1129" s="307"/>
      <c r="E1129" s="307"/>
      <c r="F1129" s="307"/>
      <c r="G1129" s="307"/>
      <c r="H1129" s="307"/>
      <c r="I1129" s="307"/>
      <c r="J1129" s="307"/>
      <c r="K1129" s="307"/>
      <c r="L1129" s="307"/>
      <c r="M1129" s="307"/>
    </row>
    <row r="1130" spans="2:13">
      <c r="B1130" s="505"/>
      <c r="C1130" s="307"/>
      <c r="D1130" s="307"/>
      <c r="E1130" s="307"/>
      <c r="F1130" s="307"/>
      <c r="G1130" s="307"/>
      <c r="H1130" s="307"/>
      <c r="I1130" s="307"/>
      <c r="J1130" s="307"/>
      <c r="K1130" s="307"/>
      <c r="L1130" s="307"/>
      <c r="M1130" s="307"/>
    </row>
    <row r="1131" spans="2:13">
      <c r="B1131" s="505"/>
      <c r="C1131" s="307"/>
      <c r="D1131" s="307"/>
      <c r="E1131" s="307"/>
      <c r="F1131" s="307"/>
      <c r="G1131" s="307"/>
      <c r="H1131" s="307"/>
      <c r="I1131" s="307"/>
      <c r="J1131" s="307"/>
      <c r="K1131" s="307"/>
      <c r="L1131" s="307"/>
      <c r="M1131" s="307"/>
    </row>
    <row r="1132" spans="2:13">
      <c r="B1132" s="505"/>
      <c r="C1132" s="307"/>
      <c r="D1132" s="307"/>
      <c r="E1132" s="307"/>
      <c r="F1132" s="307"/>
      <c r="G1132" s="307"/>
      <c r="H1132" s="307"/>
      <c r="I1132" s="307"/>
      <c r="J1132" s="307"/>
      <c r="K1132" s="307"/>
      <c r="L1132" s="307"/>
      <c r="M1132" s="307"/>
    </row>
    <row r="1133" spans="2:13">
      <c r="B1133" s="505"/>
      <c r="C1133" s="307"/>
      <c r="D1133" s="307"/>
      <c r="E1133" s="307"/>
      <c r="F1133" s="307"/>
      <c r="G1133" s="307"/>
      <c r="H1133" s="307"/>
      <c r="I1133" s="307"/>
      <c r="J1133" s="307"/>
      <c r="K1133" s="307"/>
      <c r="L1133" s="307"/>
      <c r="M1133" s="307"/>
    </row>
    <row r="1134" spans="2:13">
      <c r="B1134" s="505"/>
      <c r="C1134" s="307"/>
      <c r="D1134" s="307"/>
      <c r="E1134" s="307"/>
      <c r="F1134" s="307"/>
      <c r="G1134" s="307"/>
      <c r="H1134" s="307"/>
      <c r="I1134" s="307"/>
      <c r="J1134" s="307"/>
      <c r="K1134" s="307"/>
      <c r="L1134" s="307"/>
      <c r="M1134" s="307"/>
    </row>
    <row r="1135" spans="2:13">
      <c r="B1135" s="505"/>
      <c r="C1135" s="307"/>
      <c r="D1135" s="307"/>
      <c r="E1135" s="307"/>
      <c r="F1135" s="307"/>
      <c r="G1135" s="307"/>
      <c r="H1135" s="307"/>
      <c r="I1135" s="307"/>
      <c r="J1135" s="307"/>
      <c r="K1135" s="307"/>
      <c r="L1135" s="307"/>
      <c r="M1135" s="307"/>
    </row>
    <row r="1136" spans="2:13">
      <c r="B1136" s="505"/>
      <c r="C1136" s="307"/>
      <c r="D1136" s="307"/>
      <c r="E1136" s="307"/>
      <c r="F1136" s="307"/>
      <c r="G1136" s="307"/>
      <c r="H1136" s="307"/>
      <c r="I1136" s="307"/>
      <c r="J1136" s="307"/>
      <c r="K1136" s="307"/>
      <c r="L1136" s="307"/>
      <c r="M1136" s="307"/>
    </row>
    <row r="1137" spans="2:13">
      <c r="B1137" s="505"/>
      <c r="C1137" s="307"/>
      <c r="D1137" s="307"/>
      <c r="E1137" s="307"/>
      <c r="F1137" s="307"/>
      <c r="G1137" s="307"/>
      <c r="H1137" s="307"/>
      <c r="I1137" s="307"/>
      <c r="J1137" s="307"/>
      <c r="K1137" s="307"/>
      <c r="L1137" s="307"/>
      <c r="M1137" s="307"/>
    </row>
    <row r="1138" spans="2:13">
      <c r="B1138" s="505"/>
      <c r="C1138" s="307"/>
      <c r="D1138" s="307"/>
      <c r="E1138" s="307"/>
      <c r="F1138" s="307"/>
      <c r="G1138" s="307"/>
      <c r="H1138" s="307"/>
      <c r="I1138" s="307"/>
      <c r="J1138" s="307"/>
      <c r="K1138" s="307"/>
      <c r="L1138" s="307"/>
      <c r="M1138" s="307"/>
    </row>
    <row r="1139" spans="2:13">
      <c r="B1139" s="505"/>
      <c r="C1139" s="307"/>
      <c r="D1139" s="307"/>
      <c r="E1139" s="307"/>
      <c r="F1139" s="307"/>
      <c r="G1139" s="307"/>
      <c r="H1139" s="307"/>
      <c r="I1139" s="307"/>
      <c r="J1139" s="307"/>
      <c r="K1139" s="307"/>
      <c r="L1139" s="307"/>
      <c r="M1139" s="307"/>
    </row>
    <row r="1140" spans="2:13">
      <c r="B1140" s="505"/>
      <c r="C1140" s="307"/>
      <c r="D1140" s="307"/>
      <c r="E1140" s="307"/>
      <c r="F1140" s="307"/>
      <c r="G1140" s="307"/>
      <c r="H1140" s="307"/>
      <c r="I1140" s="307"/>
      <c r="J1140" s="307"/>
      <c r="K1140" s="307"/>
      <c r="L1140" s="307"/>
      <c r="M1140" s="307"/>
    </row>
    <row r="1141" spans="2:13">
      <c r="B1141" s="505"/>
      <c r="C1141" s="307"/>
      <c r="D1141" s="307"/>
      <c r="E1141" s="307"/>
      <c r="F1141" s="307"/>
      <c r="G1141" s="307"/>
      <c r="H1141" s="307"/>
      <c r="I1141" s="307"/>
      <c r="J1141" s="307"/>
      <c r="K1141" s="307"/>
      <c r="L1141" s="307"/>
      <c r="M1141" s="307"/>
    </row>
    <row r="1142" spans="2:13">
      <c r="B1142" s="505"/>
      <c r="C1142" s="307"/>
      <c r="D1142" s="307"/>
      <c r="E1142" s="307"/>
      <c r="F1142" s="307"/>
      <c r="G1142" s="307"/>
      <c r="H1142" s="307"/>
      <c r="I1142" s="307"/>
      <c r="J1142" s="307"/>
      <c r="K1142" s="307"/>
      <c r="L1142" s="307"/>
      <c r="M1142" s="307"/>
    </row>
    <row r="1143" spans="2:13">
      <c r="B1143" s="505"/>
      <c r="C1143" s="307"/>
      <c r="D1143" s="307"/>
      <c r="E1143" s="307"/>
      <c r="F1143" s="307"/>
      <c r="G1143" s="307"/>
      <c r="H1143" s="307"/>
      <c r="I1143" s="307"/>
      <c r="J1143" s="307"/>
      <c r="K1143" s="307"/>
      <c r="L1143" s="307"/>
      <c r="M1143" s="307"/>
    </row>
    <row r="1144" spans="2:13">
      <c r="B1144" s="505"/>
      <c r="C1144" s="307"/>
      <c r="D1144" s="307"/>
      <c r="E1144" s="307"/>
      <c r="F1144" s="307"/>
      <c r="G1144" s="307"/>
      <c r="H1144" s="307"/>
      <c r="I1144" s="307"/>
      <c r="J1144" s="307"/>
      <c r="K1144" s="307"/>
      <c r="L1144" s="307"/>
      <c r="M1144" s="307"/>
    </row>
    <row r="1145" spans="2:13">
      <c r="B1145" s="505"/>
      <c r="C1145" s="307"/>
      <c r="D1145" s="307"/>
      <c r="E1145" s="307"/>
      <c r="F1145" s="307"/>
      <c r="G1145" s="307"/>
      <c r="H1145" s="307"/>
      <c r="I1145" s="307"/>
      <c r="J1145" s="307"/>
      <c r="K1145" s="307"/>
      <c r="L1145" s="307"/>
      <c r="M1145" s="307"/>
    </row>
    <row r="1146" spans="2:13">
      <c r="B1146" s="505"/>
      <c r="C1146" s="307"/>
      <c r="D1146" s="307"/>
      <c r="E1146" s="307"/>
      <c r="F1146" s="307"/>
      <c r="G1146" s="307"/>
      <c r="H1146" s="307"/>
      <c r="I1146" s="307"/>
      <c r="J1146" s="307"/>
      <c r="K1146" s="307"/>
      <c r="L1146" s="307"/>
      <c r="M1146" s="307"/>
    </row>
    <row r="1147" spans="2:13">
      <c r="B1147" s="505"/>
      <c r="C1147" s="307"/>
      <c r="D1147" s="307"/>
      <c r="E1147" s="307"/>
      <c r="F1147" s="307"/>
      <c r="G1147" s="307"/>
      <c r="H1147" s="307"/>
      <c r="I1147" s="307"/>
      <c r="J1147" s="307"/>
      <c r="K1147" s="307"/>
      <c r="L1147" s="307"/>
      <c r="M1147" s="307"/>
    </row>
    <row r="1148" spans="2:13">
      <c r="B1148" s="505"/>
      <c r="C1148" s="307"/>
      <c r="D1148" s="307"/>
      <c r="E1148" s="307"/>
      <c r="F1148" s="307"/>
      <c r="G1148" s="307"/>
      <c r="H1148" s="307"/>
      <c r="I1148" s="307"/>
      <c r="J1148" s="307"/>
      <c r="K1148" s="307"/>
      <c r="L1148" s="307"/>
      <c r="M1148" s="307"/>
    </row>
    <row r="1149" spans="2:13">
      <c r="B1149" s="505"/>
      <c r="C1149" s="307"/>
      <c r="D1149" s="307"/>
      <c r="E1149" s="307"/>
      <c r="F1149" s="307"/>
      <c r="G1149" s="307"/>
      <c r="H1149" s="307"/>
      <c r="I1149" s="307"/>
      <c r="J1149" s="307"/>
      <c r="K1149" s="307"/>
      <c r="L1149" s="307"/>
      <c r="M1149" s="307"/>
    </row>
    <row r="1150" spans="2:13">
      <c r="B1150" s="505"/>
      <c r="C1150" s="307"/>
      <c r="D1150" s="307"/>
      <c r="E1150" s="307"/>
      <c r="F1150" s="307"/>
      <c r="G1150" s="307"/>
      <c r="H1150" s="307"/>
      <c r="I1150" s="307"/>
      <c r="J1150" s="307"/>
      <c r="K1150" s="307"/>
      <c r="L1150" s="307"/>
      <c r="M1150" s="307"/>
    </row>
    <row r="1151" spans="2:13">
      <c r="B1151" s="505"/>
      <c r="C1151" s="307"/>
      <c r="D1151" s="307"/>
      <c r="E1151" s="307"/>
      <c r="F1151" s="307"/>
      <c r="G1151" s="307"/>
      <c r="H1151" s="307"/>
      <c r="I1151" s="307"/>
      <c r="J1151" s="307"/>
      <c r="K1151" s="307"/>
      <c r="L1151" s="307"/>
      <c r="M1151" s="307"/>
    </row>
    <row r="1152" spans="2:13">
      <c r="B1152" s="505"/>
      <c r="C1152" s="307"/>
      <c r="D1152" s="307"/>
      <c r="E1152" s="307"/>
      <c r="F1152" s="307"/>
      <c r="G1152" s="307"/>
      <c r="H1152" s="307"/>
      <c r="I1152" s="307"/>
      <c r="J1152" s="307"/>
      <c r="K1152" s="307"/>
      <c r="L1152" s="307"/>
      <c r="M1152" s="307"/>
    </row>
    <row r="1153" spans="2:13">
      <c r="B1153" s="505"/>
      <c r="C1153" s="307"/>
      <c r="D1153" s="307"/>
      <c r="E1153" s="307"/>
      <c r="F1153" s="307"/>
      <c r="G1153" s="307"/>
      <c r="H1153" s="307"/>
      <c r="I1153" s="307"/>
      <c r="J1153" s="307"/>
      <c r="K1153" s="307"/>
      <c r="L1153" s="307"/>
      <c r="M1153" s="307"/>
    </row>
    <row r="1154" spans="2:13">
      <c r="B1154" s="505"/>
      <c r="C1154" s="307"/>
      <c r="D1154" s="307"/>
      <c r="E1154" s="307"/>
      <c r="F1154" s="307"/>
      <c r="G1154" s="307"/>
      <c r="H1154" s="307"/>
      <c r="I1154" s="307"/>
      <c r="J1154" s="307"/>
      <c r="K1154" s="307"/>
      <c r="L1154" s="307"/>
      <c r="M1154" s="307"/>
    </row>
    <row r="1155" spans="2:13">
      <c r="B1155" s="505"/>
      <c r="C1155" s="307"/>
      <c r="D1155" s="307"/>
      <c r="E1155" s="307"/>
      <c r="F1155" s="307"/>
      <c r="G1155" s="307"/>
      <c r="H1155" s="307"/>
      <c r="I1155" s="307"/>
      <c r="J1155" s="307"/>
      <c r="K1155" s="307"/>
      <c r="L1155" s="307"/>
      <c r="M1155" s="307"/>
    </row>
    <row r="1156" spans="2:13">
      <c r="B1156" s="505"/>
      <c r="C1156" s="307"/>
      <c r="D1156" s="307"/>
      <c r="E1156" s="307"/>
      <c r="F1156" s="307"/>
      <c r="G1156" s="307"/>
      <c r="H1156" s="307"/>
      <c r="I1156" s="307"/>
      <c r="J1156" s="307"/>
      <c r="K1156" s="307"/>
      <c r="L1156" s="307"/>
      <c r="M1156" s="307"/>
    </row>
    <row r="1157" spans="2:13">
      <c r="B1157" s="505"/>
      <c r="C1157" s="307"/>
      <c r="D1157" s="307"/>
      <c r="E1157" s="307"/>
      <c r="F1157" s="307"/>
      <c r="G1157" s="307"/>
      <c r="H1157" s="307"/>
      <c r="I1157" s="307"/>
      <c r="J1157" s="307"/>
      <c r="K1157" s="307"/>
      <c r="L1157" s="307"/>
      <c r="M1157" s="307"/>
    </row>
    <row r="1158" spans="2:13">
      <c r="B1158" s="505"/>
      <c r="C1158" s="307"/>
      <c r="D1158" s="307"/>
      <c r="E1158" s="307"/>
      <c r="F1158" s="307"/>
      <c r="G1158" s="307"/>
      <c r="H1158" s="307"/>
      <c r="I1158" s="307"/>
      <c r="J1158" s="307"/>
      <c r="K1158" s="307"/>
      <c r="L1158" s="307"/>
      <c r="M1158" s="307"/>
    </row>
    <row r="1159" spans="2:13">
      <c r="B1159" s="505"/>
      <c r="C1159" s="307"/>
      <c r="D1159" s="307"/>
      <c r="E1159" s="307"/>
      <c r="F1159" s="307"/>
      <c r="G1159" s="307"/>
      <c r="H1159" s="307"/>
      <c r="I1159" s="307"/>
      <c r="J1159" s="307"/>
      <c r="K1159" s="307"/>
      <c r="L1159" s="307"/>
      <c r="M1159" s="307"/>
    </row>
    <row r="1160" spans="2:13">
      <c r="B1160" s="505"/>
      <c r="C1160" s="307"/>
      <c r="D1160" s="307"/>
      <c r="E1160" s="307"/>
      <c r="F1160" s="307"/>
      <c r="G1160" s="307"/>
      <c r="H1160" s="307"/>
      <c r="I1160" s="307"/>
      <c r="J1160" s="307"/>
      <c r="K1160" s="307"/>
      <c r="L1160" s="307"/>
      <c r="M1160" s="307"/>
    </row>
    <row r="1161" spans="2:13">
      <c r="B1161" s="505"/>
      <c r="C1161" s="307"/>
      <c r="D1161" s="307"/>
      <c r="E1161" s="307"/>
      <c r="F1161" s="307"/>
      <c r="G1161" s="307"/>
      <c r="H1161" s="307"/>
      <c r="I1161" s="307"/>
      <c r="J1161" s="307"/>
      <c r="K1161" s="307"/>
      <c r="L1161" s="307"/>
      <c r="M1161" s="307"/>
    </row>
    <row r="1162" spans="2:13">
      <c r="B1162" s="505"/>
      <c r="C1162" s="307"/>
      <c r="D1162" s="307"/>
      <c r="E1162" s="307"/>
      <c r="F1162" s="307"/>
      <c r="G1162" s="307"/>
      <c r="H1162" s="307"/>
      <c r="I1162" s="307"/>
      <c r="J1162" s="307"/>
      <c r="K1162" s="307"/>
      <c r="L1162" s="307"/>
      <c r="M1162" s="307"/>
    </row>
    <row r="1163" spans="2:13">
      <c r="B1163" s="505"/>
      <c r="C1163" s="307"/>
      <c r="D1163" s="307"/>
      <c r="E1163" s="307"/>
      <c r="F1163" s="307"/>
      <c r="G1163" s="307"/>
      <c r="H1163" s="307"/>
      <c r="I1163" s="307"/>
      <c r="J1163" s="307"/>
      <c r="K1163" s="307"/>
      <c r="L1163" s="307"/>
      <c r="M1163" s="307"/>
    </row>
    <row r="1164" spans="2:13">
      <c r="B1164" s="505"/>
      <c r="C1164" s="307"/>
      <c r="D1164" s="307"/>
      <c r="E1164" s="307"/>
      <c r="F1164" s="307"/>
      <c r="G1164" s="307"/>
      <c r="H1164" s="307"/>
      <c r="I1164" s="307"/>
      <c r="J1164" s="307"/>
      <c r="K1164" s="307"/>
      <c r="L1164" s="307"/>
      <c r="M1164" s="307"/>
    </row>
    <row r="1165" spans="2:13">
      <c r="B1165" s="505"/>
      <c r="C1165" s="307"/>
      <c r="D1165" s="307"/>
      <c r="E1165" s="307"/>
      <c r="F1165" s="307"/>
      <c r="G1165" s="307"/>
      <c r="H1165" s="307"/>
      <c r="I1165" s="307"/>
      <c r="J1165" s="307"/>
      <c r="K1165" s="307"/>
      <c r="L1165" s="307"/>
      <c r="M1165" s="307"/>
    </row>
    <row r="1166" spans="2:13">
      <c r="B1166" s="505"/>
      <c r="C1166" s="307"/>
      <c r="D1166" s="307"/>
      <c r="E1166" s="307"/>
      <c r="F1166" s="307"/>
      <c r="G1166" s="307"/>
      <c r="H1166" s="307"/>
      <c r="I1166" s="307"/>
      <c r="J1166" s="307"/>
      <c r="K1166" s="307"/>
      <c r="L1166" s="307"/>
      <c r="M1166" s="307"/>
    </row>
    <row r="1167" spans="2:13">
      <c r="B1167" s="505"/>
      <c r="C1167" s="307"/>
      <c r="D1167" s="307"/>
      <c r="E1167" s="307"/>
      <c r="F1167" s="307"/>
      <c r="G1167" s="307"/>
      <c r="H1167" s="307"/>
      <c r="I1167" s="307"/>
      <c r="J1167" s="307"/>
      <c r="K1167" s="307"/>
      <c r="L1167" s="307"/>
      <c r="M1167" s="307"/>
    </row>
    <row r="1168" spans="2:13">
      <c r="B1168" s="505"/>
      <c r="C1168" s="307"/>
      <c r="D1168" s="307"/>
      <c r="E1168" s="307"/>
      <c r="F1168" s="307"/>
      <c r="G1168" s="307"/>
      <c r="H1168" s="307"/>
      <c r="I1168" s="307"/>
      <c r="J1168" s="307"/>
      <c r="K1168" s="307"/>
      <c r="L1168" s="307"/>
      <c r="M1168" s="307"/>
    </row>
    <row r="1169" spans="2:13">
      <c r="B1169" s="505"/>
      <c r="C1169" s="307"/>
      <c r="D1169" s="307"/>
      <c r="E1169" s="307"/>
      <c r="F1169" s="307"/>
      <c r="G1169" s="307"/>
      <c r="H1169" s="307"/>
      <c r="I1169" s="307"/>
      <c r="J1169" s="307"/>
      <c r="K1169" s="307"/>
      <c r="L1169" s="307"/>
      <c r="M1169" s="307"/>
    </row>
    <row r="1170" spans="2:13">
      <c r="B1170" s="505"/>
      <c r="C1170" s="307"/>
      <c r="D1170" s="307"/>
      <c r="E1170" s="307"/>
      <c r="F1170" s="307"/>
      <c r="G1170" s="307"/>
      <c r="H1170" s="307"/>
      <c r="I1170" s="307"/>
      <c r="J1170" s="307"/>
      <c r="K1170" s="307"/>
      <c r="L1170" s="307"/>
      <c r="M1170" s="307"/>
    </row>
    <row r="1171" spans="2:13">
      <c r="B1171" s="505"/>
      <c r="C1171" s="307"/>
      <c r="D1171" s="307"/>
      <c r="E1171" s="307"/>
      <c r="F1171" s="307"/>
      <c r="G1171" s="307"/>
      <c r="H1171" s="307"/>
      <c r="I1171" s="307"/>
      <c r="J1171" s="307"/>
      <c r="K1171" s="307"/>
      <c r="L1171" s="307"/>
      <c r="M1171" s="307"/>
    </row>
    <row r="1172" spans="2:13">
      <c r="B1172" s="505"/>
      <c r="C1172" s="307"/>
      <c r="D1172" s="307"/>
      <c r="E1172" s="307"/>
      <c r="F1172" s="307"/>
      <c r="G1172" s="307"/>
      <c r="H1172" s="307"/>
      <c r="I1172" s="307"/>
      <c r="J1172" s="307"/>
      <c r="K1172" s="307"/>
      <c r="L1172" s="307"/>
      <c r="M1172" s="307"/>
    </row>
    <row r="1173" spans="2:13">
      <c r="B1173" s="505"/>
      <c r="C1173" s="307"/>
      <c r="D1173" s="307"/>
      <c r="E1173" s="307"/>
      <c r="F1173" s="307"/>
      <c r="G1173" s="307"/>
      <c r="H1173" s="307"/>
      <c r="I1173" s="307"/>
      <c r="J1173" s="307"/>
      <c r="K1173" s="307"/>
      <c r="L1173" s="307"/>
      <c r="M1173" s="307"/>
    </row>
    <row r="1174" spans="2:13">
      <c r="B1174" s="505"/>
      <c r="C1174" s="307"/>
      <c r="D1174" s="307"/>
      <c r="E1174" s="307"/>
      <c r="F1174" s="307"/>
      <c r="G1174" s="307"/>
      <c r="H1174" s="307"/>
      <c r="I1174" s="307"/>
      <c r="J1174" s="307"/>
      <c r="K1174" s="307"/>
      <c r="L1174" s="307"/>
      <c r="M1174" s="307"/>
    </row>
    <row r="1175" spans="2:13">
      <c r="B1175" s="505"/>
      <c r="C1175" s="307"/>
      <c r="D1175" s="307"/>
      <c r="E1175" s="307"/>
      <c r="F1175" s="307"/>
      <c r="G1175" s="307"/>
      <c r="H1175" s="307"/>
      <c r="I1175" s="307"/>
      <c r="J1175" s="307"/>
      <c r="K1175" s="307"/>
      <c r="L1175" s="307"/>
      <c r="M1175" s="307"/>
    </row>
    <row r="1176" spans="2:13">
      <c r="B1176" s="505"/>
      <c r="C1176" s="307"/>
      <c r="D1176" s="307"/>
      <c r="E1176" s="307"/>
      <c r="F1176" s="307"/>
      <c r="G1176" s="307"/>
      <c r="H1176" s="307"/>
      <c r="I1176" s="307"/>
      <c r="J1176" s="307"/>
      <c r="K1176" s="307"/>
      <c r="L1176" s="307"/>
      <c r="M1176" s="307"/>
    </row>
    <row r="1177" spans="2:13">
      <c r="B1177" s="505"/>
      <c r="C1177" s="307"/>
      <c r="D1177" s="307"/>
      <c r="E1177" s="307"/>
      <c r="F1177" s="307"/>
      <c r="G1177" s="307"/>
      <c r="H1177" s="307"/>
      <c r="I1177" s="307"/>
      <c r="J1177" s="307"/>
      <c r="K1177" s="307"/>
      <c r="L1177" s="307"/>
      <c r="M1177" s="307"/>
    </row>
    <row r="1178" spans="2:13">
      <c r="B1178" s="505"/>
      <c r="C1178" s="307"/>
      <c r="D1178" s="307"/>
      <c r="E1178" s="307"/>
      <c r="F1178" s="307"/>
      <c r="G1178" s="307"/>
      <c r="H1178" s="307"/>
      <c r="I1178" s="307"/>
      <c r="J1178" s="307"/>
      <c r="K1178" s="307"/>
      <c r="L1178" s="307"/>
      <c r="M1178" s="307"/>
    </row>
    <row r="1179" spans="2:13">
      <c r="B1179" s="505"/>
      <c r="C1179" s="307"/>
      <c r="D1179" s="307"/>
      <c r="E1179" s="307"/>
      <c r="F1179" s="307"/>
      <c r="G1179" s="307"/>
      <c r="H1179" s="307"/>
      <c r="I1179" s="307"/>
      <c r="J1179" s="307"/>
      <c r="K1179" s="307"/>
      <c r="L1179" s="307"/>
      <c r="M1179" s="307"/>
    </row>
    <row r="1180" spans="2:13">
      <c r="B1180" s="505"/>
      <c r="C1180" s="307"/>
      <c r="D1180" s="307"/>
      <c r="E1180" s="307"/>
      <c r="F1180" s="307"/>
      <c r="G1180" s="307"/>
      <c r="H1180" s="307"/>
      <c r="I1180" s="307"/>
      <c r="J1180" s="307"/>
      <c r="K1180" s="307"/>
      <c r="L1180" s="307"/>
      <c r="M1180" s="307"/>
    </row>
    <row r="1181" spans="2:13">
      <c r="B1181" s="505"/>
      <c r="C1181" s="307"/>
      <c r="D1181" s="307"/>
      <c r="E1181" s="307"/>
      <c r="F1181" s="307"/>
      <c r="G1181" s="307"/>
      <c r="H1181" s="307"/>
      <c r="I1181" s="307"/>
      <c r="J1181" s="307"/>
      <c r="K1181" s="307"/>
      <c r="L1181" s="307"/>
      <c r="M1181" s="307"/>
    </row>
    <row r="1182" spans="2:13">
      <c r="B1182" s="505"/>
      <c r="C1182" s="307"/>
      <c r="D1182" s="307"/>
      <c r="E1182" s="307"/>
      <c r="F1182" s="307"/>
      <c r="G1182" s="307"/>
      <c r="H1182" s="307"/>
      <c r="I1182" s="307"/>
      <c r="J1182" s="307"/>
      <c r="K1182" s="307"/>
      <c r="L1182" s="307"/>
      <c r="M1182" s="307"/>
    </row>
    <row r="1183" spans="2:13">
      <c r="B1183" s="505"/>
      <c r="C1183" s="307"/>
      <c r="D1183" s="307"/>
      <c r="E1183" s="307"/>
      <c r="F1183" s="307"/>
      <c r="G1183" s="307"/>
      <c r="H1183" s="307"/>
      <c r="I1183" s="307"/>
      <c r="J1183" s="307"/>
      <c r="K1183" s="307"/>
      <c r="L1183" s="307"/>
      <c r="M1183" s="307"/>
    </row>
    <row r="1184" spans="2:13">
      <c r="B1184" s="505"/>
      <c r="C1184" s="307"/>
      <c r="D1184" s="307"/>
      <c r="E1184" s="307"/>
      <c r="F1184" s="307"/>
      <c r="G1184" s="307"/>
      <c r="H1184" s="307"/>
      <c r="I1184" s="307"/>
      <c r="J1184" s="307"/>
      <c r="K1184" s="307"/>
      <c r="L1184" s="307"/>
      <c r="M1184" s="307"/>
    </row>
    <row r="1185" spans="2:13">
      <c r="B1185" s="505"/>
      <c r="C1185" s="307"/>
      <c r="D1185" s="307"/>
      <c r="E1185" s="307"/>
      <c r="F1185" s="307"/>
      <c r="G1185" s="307"/>
      <c r="H1185" s="307"/>
      <c r="I1185" s="307"/>
      <c r="J1185" s="307"/>
      <c r="K1185" s="307"/>
      <c r="L1185" s="307"/>
      <c r="M1185" s="307"/>
    </row>
    <row r="1186" spans="2:13">
      <c r="B1186" s="505"/>
      <c r="C1186" s="307"/>
      <c r="D1186" s="307"/>
      <c r="E1186" s="307"/>
      <c r="F1186" s="307"/>
      <c r="G1186" s="307"/>
      <c r="H1186" s="307"/>
      <c r="I1186" s="307"/>
      <c r="J1186" s="307"/>
      <c r="K1186" s="307"/>
      <c r="L1186" s="307"/>
      <c r="M1186" s="307"/>
    </row>
    <row r="1187" spans="2:13">
      <c r="B1187" s="505"/>
      <c r="C1187" s="307"/>
      <c r="D1187" s="307"/>
      <c r="E1187" s="307"/>
      <c r="F1187" s="307"/>
      <c r="G1187" s="307"/>
      <c r="H1187" s="307"/>
      <c r="I1187" s="307"/>
      <c r="J1187" s="307"/>
      <c r="K1187" s="307"/>
      <c r="L1187" s="307"/>
      <c r="M1187" s="307"/>
    </row>
    <row r="1188" spans="2:13">
      <c r="B1188" s="505"/>
      <c r="C1188" s="307"/>
      <c r="D1188" s="307"/>
      <c r="E1188" s="307"/>
      <c r="F1188" s="307"/>
      <c r="G1188" s="307"/>
      <c r="H1188" s="307"/>
      <c r="I1188" s="307"/>
      <c r="J1188" s="307"/>
      <c r="K1188" s="307"/>
      <c r="L1188" s="307"/>
      <c r="M1188" s="307"/>
    </row>
    <row r="1189" spans="2:13">
      <c r="B1189" s="505"/>
      <c r="C1189" s="307"/>
      <c r="D1189" s="307"/>
      <c r="E1189" s="307"/>
      <c r="F1189" s="307"/>
      <c r="G1189" s="307"/>
      <c r="H1189" s="307"/>
      <c r="I1189" s="307"/>
      <c r="J1189" s="307"/>
      <c r="K1189" s="307"/>
      <c r="L1189" s="307"/>
      <c r="M1189" s="307"/>
    </row>
    <row r="1190" spans="2:13">
      <c r="B1190" s="505"/>
      <c r="C1190" s="307"/>
      <c r="D1190" s="307"/>
      <c r="E1190" s="307"/>
      <c r="F1190" s="307"/>
      <c r="G1190" s="307"/>
      <c r="H1190" s="307"/>
      <c r="I1190" s="307"/>
      <c r="J1190" s="307"/>
      <c r="K1190" s="307"/>
      <c r="L1190" s="307"/>
      <c r="M1190" s="307"/>
    </row>
    <row r="1191" spans="2:13">
      <c r="B1191" s="505"/>
      <c r="C1191" s="307"/>
      <c r="D1191" s="307"/>
      <c r="E1191" s="307"/>
      <c r="F1191" s="307"/>
      <c r="G1191" s="307"/>
      <c r="H1191" s="307"/>
      <c r="I1191" s="307"/>
      <c r="J1191" s="307"/>
      <c r="K1191" s="307"/>
      <c r="L1191" s="307"/>
      <c r="M1191" s="307"/>
    </row>
    <row r="1192" spans="2:13">
      <c r="B1192" s="505"/>
      <c r="C1192" s="307"/>
      <c r="D1192" s="307"/>
      <c r="E1192" s="307"/>
      <c r="F1192" s="307"/>
      <c r="G1192" s="307"/>
      <c r="H1192" s="307"/>
      <c r="I1192" s="307"/>
      <c r="J1192" s="307"/>
      <c r="K1192" s="307"/>
      <c r="L1192" s="307"/>
      <c r="M1192" s="307"/>
    </row>
    <row r="1193" spans="2:13">
      <c r="B1193" s="505"/>
      <c r="C1193" s="307"/>
      <c r="D1193" s="307"/>
      <c r="E1193" s="307"/>
      <c r="F1193" s="307"/>
      <c r="G1193" s="307"/>
      <c r="H1193" s="307"/>
      <c r="I1193" s="307"/>
      <c r="J1193" s="307"/>
      <c r="K1193" s="307"/>
      <c r="L1193" s="307"/>
      <c r="M1193" s="307"/>
    </row>
    <row r="1194" spans="2:13">
      <c r="B1194" s="505"/>
      <c r="C1194" s="307"/>
      <c r="D1194" s="307"/>
      <c r="E1194" s="307"/>
      <c r="F1194" s="307"/>
      <c r="G1194" s="307"/>
      <c r="H1194" s="307"/>
      <c r="I1194" s="307"/>
      <c r="J1194" s="307"/>
      <c r="K1194" s="307"/>
      <c r="L1194" s="307"/>
      <c r="M1194" s="307"/>
    </row>
    <row r="1195" spans="2:13">
      <c r="B1195" s="505"/>
      <c r="C1195" s="307"/>
      <c r="D1195" s="307"/>
      <c r="E1195" s="307"/>
      <c r="F1195" s="307"/>
      <c r="G1195" s="307"/>
      <c r="H1195" s="307"/>
      <c r="I1195" s="307"/>
      <c r="J1195" s="307"/>
      <c r="K1195" s="307"/>
      <c r="L1195" s="307"/>
      <c r="M1195" s="307"/>
    </row>
    <row r="1196" spans="2:13">
      <c r="B1196" s="505"/>
      <c r="C1196" s="307"/>
      <c r="D1196" s="307"/>
      <c r="E1196" s="307"/>
      <c r="F1196" s="307"/>
      <c r="G1196" s="307"/>
      <c r="H1196" s="307"/>
      <c r="I1196" s="307"/>
      <c r="J1196" s="307"/>
      <c r="K1196" s="307"/>
      <c r="L1196" s="307"/>
      <c r="M1196" s="307"/>
    </row>
    <row r="1197" spans="2:13">
      <c r="B1197" s="505"/>
      <c r="C1197" s="307"/>
      <c r="D1197" s="307"/>
      <c r="E1197" s="307"/>
      <c r="F1197" s="307"/>
      <c r="G1197" s="307"/>
      <c r="H1197" s="307"/>
      <c r="I1197" s="307"/>
      <c r="J1197" s="307"/>
      <c r="K1197" s="307"/>
      <c r="L1197" s="307"/>
      <c r="M1197" s="307"/>
    </row>
    <row r="1198" spans="2:13">
      <c r="B1198" s="505"/>
      <c r="C1198" s="307"/>
      <c r="D1198" s="307"/>
      <c r="E1198" s="307"/>
      <c r="F1198" s="307"/>
      <c r="G1198" s="307"/>
      <c r="H1198" s="307"/>
      <c r="I1198" s="307"/>
      <c r="J1198" s="307"/>
      <c r="K1198" s="307"/>
      <c r="L1198" s="307"/>
      <c r="M1198" s="307"/>
    </row>
    <row r="1199" spans="2:13">
      <c r="B1199" s="505"/>
      <c r="C1199" s="307"/>
      <c r="D1199" s="307"/>
      <c r="E1199" s="307"/>
      <c r="F1199" s="307"/>
      <c r="G1199" s="307"/>
      <c r="H1199" s="307"/>
      <c r="I1199" s="307"/>
      <c r="J1199" s="307"/>
      <c r="K1199" s="307"/>
      <c r="L1199" s="307"/>
      <c r="M1199" s="307"/>
    </row>
    <row r="1200" spans="2:13">
      <c r="B1200" s="505"/>
      <c r="C1200" s="307"/>
      <c r="D1200" s="307"/>
      <c r="E1200" s="307"/>
      <c r="F1200" s="307"/>
      <c r="G1200" s="307"/>
      <c r="H1200" s="307"/>
      <c r="I1200" s="307"/>
      <c r="J1200" s="307"/>
      <c r="K1200" s="307"/>
      <c r="L1200" s="307"/>
      <c r="M1200" s="307"/>
    </row>
    <row r="1201" spans="2:13">
      <c r="B1201" s="505"/>
      <c r="C1201" s="307"/>
      <c r="D1201" s="307"/>
      <c r="E1201" s="307"/>
      <c r="F1201" s="307"/>
      <c r="G1201" s="307"/>
      <c r="H1201" s="307"/>
      <c r="I1201" s="307"/>
      <c r="J1201" s="307"/>
      <c r="K1201" s="307"/>
      <c r="L1201" s="307"/>
      <c r="M1201" s="307"/>
    </row>
    <row r="1202" spans="2:13">
      <c r="B1202" s="505"/>
      <c r="C1202" s="307"/>
      <c r="D1202" s="307"/>
      <c r="E1202" s="307"/>
      <c r="F1202" s="307"/>
      <c r="G1202" s="307"/>
      <c r="H1202" s="307"/>
      <c r="I1202" s="307"/>
      <c r="J1202" s="307"/>
      <c r="K1202" s="307"/>
      <c r="L1202" s="307"/>
      <c r="M1202" s="307"/>
    </row>
    <row r="1203" spans="2:13">
      <c r="B1203" s="505"/>
      <c r="C1203" s="307"/>
      <c r="D1203" s="307"/>
      <c r="E1203" s="307"/>
      <c r="F1203" s="307"/>
      <c r="G1203" s="307"/>
      <c r="H1203" s="307"/>
      <c r="I1203" s="307"/>
      <c r="J1203" s="307"/>
      <c r="K1203" s="307"/>
      <c r="L1203" s="307"/>
      <c r="M1203" s="307"/>
    </row>
    <row r="1204" spans="2:13">
      <c r="B1204" s="505"/>
      <c r="C1204" s="307"/>
      <c r="D1204" s="307"/>
      <c r="E1204" s="307"/>
      <c r="F1204" s="307"/>
      <c r="G1204" s="307"/>
      <c r="H1204" s="307"/>
      <c r="I1204" s="307"/>
      <c r="J1204" s="307"/>
      <c r="K1204" s="307"/>
      <c r="L1204" s="307"/>
      <c r="M1204" s="307"/>
    </row>
    <row r="1205" spans="2:13">
      <c r="B1205" s="505"/>
      <c r="C1205" s="307"/>
      <c r="D1205" s="307"/>
      <c r="E1205" s="307"/>
      <c r="F1205" s="307"/>
      <c r="G1205" s="307"/>
      <c r="H1205" s="307"/>
      <c r="I1205" s="307"/>
      <c r="J1205" s="307"/>
      <c r="K1205" s="307"/>
      <c r="L1205" s="307"/>
      <c r="M1205" s="307"/>
    </row>
    <row r="1206" spans="2:13">
      <c r="B1206" s="505"/>
      <c r="C1206" s="307"/>
      <c r="D1206" s="307"/>
      <c r="E1206" s="307"/>
      <c r="F1206" s="307"/>
      <c r="G1206" s="307"/>
      <c r="H1206" s="307"/>
      <c r="I1206" s="307"/>
      <c r="J1206" s="307"/>
      <c r="K1206" s="307"/>
      <c r="L1206" s="307"/>
      <c r="M1206" s="307"/>
    </row>
    <row r="1207" spans="2:13">
      <c r="B1207" s="505"/>
      <c r="C1207" s="307"/>
      <c r="D1207" s="307"/>
      <c r="E1207" s="307"/>
      <c r="F1207" s="307"/>
      <c r="G1207" s="307"/>
      <c r="H1207" s="307"/>
      <c r="I1207" s="307"/>
      <c r="J1207" s="307"/>
      <c r="K1207" s="307"/>
      <c r="L1207" s="307"/>
      <c r="M1207" s="307"/>
    </row>
    <row r="1208" spans="2:13">
      <c r="B1208" s="505"/>
      <c r="C1208" s="307"/>
      <c r="D1208" s="307"/>
      <c r="E1208" s="307"/>
      <c r="F1208" s="307"/>
      <c r="G1208" s="307"/>
      <c r="H1208" s="307"/>
      <c r="I1208" s="307"/>
      <c r="J1208" s="307"/>
      <c r="K1208" s="307"/>
      <c r="L1208" s="307"/>
      <c r="M1208" s="307"/>
    </row>
    <row r="1209" spans="2:13">
      <c r="B1209" s="505"/>
      <c r="C1209" s="307"/>
      <c r="D1209" s="307"/>
      <c r="E1209" s="307"/>
      <c r="F1209" s="307"/>
      <c r="G1209" s="307"/>
      <c r="H1209" s="307"/>
      <c r="I1209" s="307"/>
      <c r="J1209" s="307"/>
      <c r="K1209" s="307"/>
      <c r="L1209" s="307"/>
      <c r="M1209" s="307"/>
    </row>
    <row r="1210" spans="2:13">
      <c r="B1210" s="505"/>
      <c r="C1210" s="307"/>
      <c r="D1210" s="307"/>
      <c r="E1210" s="307"/>
      <c r="F1210" s="307"/>
      <c r="G1210" s="307"/>
      <c r="H1210" s="307"/>
      <c r="I1210" s="307"/>
      <c r="J1210" s="307"/>
      <c r="K1210" s="307"/>
      <c r="L1210" s="307"/>
      <c r="M1210" s="307"/>
    </row>
    <row r="1211" spans="2:13">
      <c r="B1211" s="505"/>
      <c r="C1211" s="307"/>
      <c r="D1211" s="307"/>
      <c r="E1211" s="307"/>
      <c r="F1211" s="307"/>
      <c r="G1211" s="307"/>
      <c r="H1211" s="307"/>
      <c r="I1211" s="307"/>
      <c r="J1211" s="307"/>
      <c r="K1211" s="307"/>
      <c r="L1211" s="307"/>
      <c r="M1211" s="307"/>
    </row>
    <row r="1212" spans="2:13">
      <c r="B1212" s="505"/>
      <c r="C1212" s="307"/>
      <c r="D1212" s="307"/>
      <c r="E1212" s="307"/>
      <c r="F1212" s="307"/>
      <c r="G1212" s="307"/>
      <c r="H1212" s="307"/>
      <c r="I1212" s="307"/>
      <c r="J1212" s="307"/>
      <c r="K1212" s="307"/>
      <c r="L1212" s="307"/>
      <c r="M1212" s="307"/>
    </row>
    <row r="1213" spans="2:13">
      <c r="B1213" s="505"/>
      <c r="C1213" s="307"/>
      <c r="D1213" s="307"/>
      <c r="E1213" s="307"/>
      <c r="F1213" s="307"/>
      <c r="G1213" s="307"/>
      <c r="H1213" s="307"/>
      <c r="I1213" s="307"/>
      <c r="J1213" s="307"/>
      <c r="K1213" s="307"/>
      <c r="L1213" s="307"/>
      <c r="M1213" s="307"/>
    </row>
    <row r="1214" spans="2:13">
      <c r="B1214" s="505"/>
      <c r="C1214" s="307"/>
      <c r="D1214" s="307"/>
      <c r="E1214" s="307"/>
      <c r="F1214" s="307"/>
      <c r="G1214" s="307"/>
      <c r="H1214" s="307"/>
      <c r="I1214" s="307"/>
      <c r="J1214" s="307"/>
      <c r="K1214" s="307"/>
      <c r="L1214" s="307"/>
      <c r="M1214" s="307"/>
    </row>
    <row r="1215" spans="2:13">
      <c r="B1215" s="505"/>
      <c r="C1215" s="307"/>
      <c r="D1215" s="307"/>
      <c r="E1215" s="307"/>
      <c r="F1215" s="307"/>
      <c r="G1215" s="307"/>
      <c r="H1215" s="307"/>
      <c r="I1215" s="307"/>
      <c r="J1215" s="307"/>
      <c r="K1215" s="307"/>
      <c r="L1215" s="307"/>
      <c r="M1215" s="307"/>
    </row>
    <row r="1216" spans="2:13">
      <c r="B1216" s="505"/>
      <c r="C1216" s="307"/>
      <c r="D1216" s="307"/>
      <c r="E1216" s="307"/>
      <c r="F1216" s="307"/>
      <c r="G1216" s="307"/>
      <c r="H1216" s="307"/>
      <c r="I1216" s="307"/>
      <c r="J1216" s="307"/>
      <c r="K1216" s="307"/>
      <c r="L1216" s="307"/>
      <c r="M1216" s="307"/>
    </row>
    <row r="1217" spans="2:13">
      <c r="B1217" s="505"/>
      <c r="C1217" s="307"/>
      <c r="D1217" s="307"/>
      <c r="E1217" s="307"/>
      <c r="F1217" s="307"/>
      <c r="G1217" s="307"/>
      <c r="H1217" s="307"/>
      <c r="I1217" s="307"/>
      <c r="J1217" s="307"/>
      <c r="K1217" s="307"/>
      <c r="L1217" s="307"/>
      <c r="M1217" s="307"/>
    </row>
    <row r="1218" spans="2:13">
      <c r="B1218" s="505"/>
      <c r="C1218" s="307"/>
      <c r="D1218" s="307"/>
      <c r="E1218" s="307"/>
      <c r="F1218" s="307"/>
      <c r="G1218" s="307"/>
      <c r="H1218" s="307"/>
      <c r="I1218" s="307"/>
      <c r="J1218" s="307"/>
      <c r="K1218" s="307"/>
      <c r="L1218" s="307"/>
      <c r="M1218" s="307"/>
    </row>
    <row r="1219" spans="2:13">
      <c r="B1219" s="505"/>
      <c r="C1219" s="307"/>
      <c r="D1219" s="307"/>
      <c r="E1219" s="307"/>
      <c r="F1219" s="307"/>
      <c r="G1219" s="307"/>
      <c r="H1219" s="307"/>
      <c r="I1219" s="307"/>
      <c r="J1219" s="307"/>
      <c r="K1219" s="307"/>
      <c r="L1219" s="307"/>
      <c r="M1219" s="307"/>
    </row>
    <row r="1220" spans="2:13">
      <c r="B1220" s="505"/>
      <c r="C1220" s="307"/>
      <c r="D1220" s="307"/>
      <c r="E1220" s="307"/>
      <c r="F1220" s="307"/>
      <c r="G1220" s="307"/>
      <c r="H1220" s="307"/>
      <c r="I1220" s="307"/>
      <c r="J1220" s="307"/>
      <c r="K1220" s="307"/>
      <c r="L1220" s="307"/>
      <c r="M1220" s="307"/>
    </row>
    <row r="1221" spans="2:13">
      <c r="B1221" s="505"/>
      <c r="C1221" s="307"/>
      <c r="D1221" s="307"/>
      <c r="E1221" s="307"/>
      <c r="F1221" s="307"/>
      <c r="G1221" s="307"/>
      <c r="H1221" s="307"/>
      <c r="I1221" s="307"/>
      <c r="J1221" s="307"/>
      <c r="K1221" s="307"/>
      <c r="L1221" s="307"/>
      <c r="M1221" s="307"/>
    </row>
    <row r="1222" spans="2:13">
      <c r="B1222" s="505"/>
      <c r="C1222" s="307"/>
      <c r="D1222" s="307"/>
      <c r="E1222" s="307"/>
      <c r="F1222" s="307"/>
      <c r="G1222" s="307"/>
      <c r="H1222" s="307"/>
      <c r="I1222" s="307"/>
      <c r="J1222" s="307"/>
      <c r="K1222" s="307"/>
      <c r="L1222" s="307"/>
      <c r="M1222" s="307"/>
    </row>
    <row r="1223" spans="2:13">
      <c r="B1223" s="505"/>
      <c r="C1223" s="307"/>
      <c r="D1223" s="307"/>
      <c r="E1223" s="307"/>
      <c r="F1223" s="307"/>
      <c r="G1223" s="307"/>
      <c r="H1223" s="307"/>
      <c r="I1223" s="307"/>
      <c r="J1223" s="307"/>
      <c r="K1223" s="307"/>
      <c r="L1223" s="307"/>
      <c r="M1223" s="307"/>
    </row>
    <row r="1224" spans="2:13">
      <c r="B1224" s="505"/>
      <c r="C1224" s="307"/>
      <c r="D1224" s="307"/>
      <c r="E1224" s="307"/>
      <c r="F1224" s="307"/>
      <c r="G1224" s="307"/>
      <c r="H1224" s="307"/>
      <c r="I1224" s="307"/>
      <c r="J1224" s="307"/>
      <c r="K1224" s="307"/>
      <c r="L1224" s="307"/>
      <c r="M1224" s="307"/>
    </row>
    <row r="1225" spans="2:13">
      <c r="B1225" s="505"/>
      <c r="C1225" s="307"/>
      <c r="D1225" s="307"/>
      <c r="E1225" s="307"/>
      <c r="F1225" s="307"/>
      <c r="G1225" s="307"/>
      <c r="H1225" s="307"/>
      <c r="I1225" s="307"/>
      <c r="J1225" s="307"/>
      <c r="K1225" s="307"/>
      <c r="L1225" s="307"/>
      <c r="M1225" s="307"/>
    </row>
    <row r="1226" spans="2:13">
      <c r="B1226" s="505"/>
      <c r="C1226" s="307"/>
      <c r="D1226" s="307"/>
      <c r="E1226" s="307"/>
      <c r="F1226" s="307"/>
      <c r="G1226" s="307"/>
      <c r="H1226" s="307"/>
      <c r="I1226" s="307"/>
      <c r="J1226" s="307"/>
      <c r="K1226" s="307"/>
      <c r="L1226" s="307"/>
      <c r="M1226" s="307"/>
    </row>
    <row r="1227" spans="2:13">
      <c r="B1227" s="505"/>
      <c r="C1227" s="307"/>
      <c r="D1227" s="307"/>
      <c r="E1227" s="307"/>
      <c r="F1227" s="307"/>
      <c r="G1227" s="307"/>
      <c r="H1227" s="307"/>
      <c r="I1227" s="307"/>
      <c r="J1227" s="307"/>
      <c r="K1227" s="307"/>
      <c r="L1227" s="307"/>
      <c r="M1227" s="307"/>
    </row>
    <row r="1228" spans="2:13">
      <c r="B1228" s="505"/>
      <c r="C1228" s="307"/>
      <c r="D1228" s="307"/>
      <c r="E1228" s="307"/>
      <c r="F1228" s="307"/>
      <c r="G1228" s="307"/>
      <c r="H1228" s="307"/>
      <c r="I1228" s="307"/>
      <c r="J1228" s="307"/>
      <c r="K1228" s="307"/>
      <c r="L1228" s="307"/>
      <c r="M1228" s="307"/>
    </row>
    <row r="1229" spans="2:13">
      <c r="I1229" s="307"/>
      <c r="J1229" s="307"/>
    </row>
  </sheetData>
  <mergeCells count="26">
    <mergeCell ref="B24:I25"/>
    <mergeCell ref="I60:J60"/>
    <mergeCell ref="I63:J63"/>
    <mergeCell ref="I134:J134"/>
    <mergeCell ref="I137:J137"/>
    <mergeCell ref="D352:L357"/>
    <mergeCell ref="D360:L362"/>
    <mergeCell ref="D307:K309"/>
    <mergeCell ref="D363:L364"/>
    <mergeCell ref="D367:L367"/>
    <mergeCell ref="D373:L374"/>
    <mergeCell ref="D42:L42"/>
    <mergeCell ref="D320:K321"/>
    <mergeCell ref="D310:J311"/>
    <mergeCell ref="D328:L330"/>
    <mergeCell ref="D316:J318"/>
    <mergeCell ref="D303:K305"/>
    <mergeCell ref="E177:E178"/>
    <mergeCell ref="G253:I253"/>
    <mergeCell ref="D368:L370"/>
    <mergeCell ref="D280:L280"/>
    <mergeCell ref="D292:L292"/>
    <mergeCell ref="D288:L289"/>
    <mergeCell ref="D323:L326"/>
    <mergeCell ref="D365:L366"/>
    <mergeCell ref="D283:K284"/>
  </mergeCells>
  <phoneticPr fontId="0" type="noConversion"/>
  <pageMargins left="0.26" right="0.37" top="1" bottom="1" header="0.86" footer="0.5"/>
  <pageSetup scale="38" fitToHeight="5" orientation="portrait" r:id="rId1"/>
  <headerFooter alignWithMargins="0">
    <oddHeader>&amp;R&amp;"Arial,Bold"Formula Rate 
&amp;A
Page &amp;P of &amp;N</oddHeader>
  </headerFooter>
  <rowBreaks count="4" manualBreakCount="4">
    <brk id="51" max="11" man="1"/>
    <brk id="126" max="11" man="1"/>
    <brk id="214" max="11" man="1"/>
    <brk id="260"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O29"/>
  <sheetViews>
    <sheetView view="pageBreakPreview" topLeftCell="A7" zoomScaleNormal="100" zoomScaleSheetLayoutView="100" workbookViewId="0">
      <selection activeCell="C11" sqref="C11"/>
    </sheetView>
  </sheetViews>
  <sheetFormatPr defaultColWidth="8.85546875" defaultRowHeight="12.75"/>
  <cols>
    <col min="1" max="1" width="9.42578125" style="413" bestFit="1" customWidth="1"/>
    <col min="2" max="2" width="65.140625" style="319" bestFit="1" customWidth="1"/>
    <col min="3" max="3" width="12.5703125" style="319" bestFit="1" customWidth="1"/>
    <col min="4" max="4" width="1.5703125" style="319" customWidth="1"/>
    <col min="5" max="5" width="15" style="319" bestFit="1" customWidth="1"/>
    <col min="6" max="16384" width="8.85546875" style="319"/>
  </cols>
  <sheetData>
    <row r="1" spans="1:15" ht="15.75">
      <c r="A1" s="881" t="s">
        <v>114</v>
      </c>
    </row>
    <row r="2" spans="1:15" ht="15.75">
      <c r="A2" s="881" t="s">
        <v>114</v>
      </c>
    </row>
    <row r="3" spans="1:15" ht="15">
      <c r="A3" s="1590" t="str">
        <f>+'WS C  - Working Capital'!A3:L3</f>
        <v>AEP East Companies</v>
      </c>
      <c r="B3" s="1590"/>
      <c r="C3" s="1590"/>
      <c r="D3" s="1590"/>
      <c r="E3" s="1590"/>
      <c r="F3" s="520"/>
      <c r="G3" s="520"/>
      <c r="H3" s="520"/>
      <c r="I3" s="520"/>
      <c r="J3" s="520"/>
      <c r="K3" s="520"/>
      <c r="L3" s="520"/>
      <c r="M3" s="520"/>
      <c r="N3" s="520"/>
      <c r="O3" s="520"/>
    </row>
    <row r="4" spans="1:15" ht="15">
      <c r="A4" s="1591" t="str">
        <f>"Cost of Service Formula Rate Using Actual/Projected FF1 Balances"</f>
        <v>Cost of Service Formula Rate Using Actual/Projected FF1 Balances</v>
      </c>
      <c r="B4" s="1591"/>
      <c r="C4" s="1591"/>
      <c r="D4" s="1591"/>
      <c r="E4" s="1591"/>
      <c r="F4" s="521"/>
      <c r="G4" s="521"/>
      <c r="H4" s="521"/>
      <c r="I4" s="521"/>
      <c r="J4" s="521"/>
      <c r="K4" s="521"/>
      <c r="L4" s="521"/>
      <c r="M4" s="522"/>
      <c r="N4" s="522"/>
      <c r="O4" s="522"/>
    </row>
    <row r="5" spans="1:15" ht="15">
      <c r="A5" s="1591" t="s">
        <v>227</v>
      </c>
      <c r="B5" s="1591"/>
      <c r="C5" s="1591"/>
      <c r="D5" s="1591"/>
      <c r="E5" s="1591"/>
      <c r="F5" s="521"/>
      <c r="G5" s="521"/>
      <c r="H5" s="521"/>
      <c r="I5" s="521"/>
      <c r="J5" s="521"/>
      <c r="K5" s="521"/>
      <c r="L5" s="521"/>
      <c r="M5" s="521"/>
      <c r="N5" s="521"/>
      <c r="O5" s="521"/>
    </row>
    <row r="6" spans="1:15" ht="15">
      <c r="A6" s="1592" t="str">
        <f>TCOS!F9</f>
        <v>WHEELING POWER COMPANY</v>
      </c>
      <c r="B6" s="1592"/>
      <c r="C6" s="1592"/>
      <c r="D6" s="1592"/>
      <c r="E6" s="1592"/>
      <c r="F6" s="315"/>
      <c r="G6" s="315"/>
      <c r="H6" s="315"/>
      <c r="I6" s="315"/>
      <c r="J6" s="315"/>
      <c r="K6" s="315"/>
      <c r="L6" s="315"/>
      <c r="M6" s="315"/>
      <c r="N6" s="315"/>
      <c r="O6" s="315"/>
    </row>
    <row r="8" spans="1:15">
      <c r="A8" s="523" t="s">
        <v>169</v>
      </c>
      <c r="B8" s="524" t="s">
        <v>162</v>
      </c>
      <c r="C8" s="524" t="s">
        <v>163</v>
      </c>
    </row>
    <row r="9" spans="1:15">
      <c r="A9" s="523" t="s">
        <v>106</v>
      </c>
      <c r="B9" s="523" t="s">
        <v>167</v>
      </c>
      <c r="C9" s="523">
        <f>+TCOS!L4</f>
        <v>2022</v>
      </c>
    </row>
    <row r="10" spans="1:15">
      <c r="A10" s="525"/>
      <c r="B10" s="526"/>
      <c r="C10" s="524"/>
      <c r="F10" s="401"/>
    </row>
    <row r="11" spans="1:15">
      <c r="A11" s="413">
        <v>1</v>
      </c>
      <c r="B11" s="1107" t="str">
        <f>"Net Funds from IPP Customers 12/31/"&amp;TCOS!L4-1&amp;" ("&amp;TCOS!L4&amp;" FORM 1, P269)"</f>
        <v>Net Funds from IPP Customers 12/31/2021 (2022 FORM 1, P269)</v>
      </c>
      <c r="C11" s="836">
        <v>0</v>
      </c>
      <c r="D11" s="401"/>
      <c r="F11" s="401"/>
    </row>
    <row r="12" spans="1:15">
      <c r="B12" s="566"/>
      <c r="C12" s="842"/>
      <c r="D12" s="401"/>
      <c r="F12" s="401"/>
    </row>
    <row r="13" spans="1:15">
      <c r="A13" s="413">
        <v>2</v>
      </c>
      <c r="B13" s="1107" t="s">
        <v>71</v>
      </c>
      <c r="C13" s="836">
        <v>0</v>
      </c>
      <c r="D13" s="401"/>
      <c r="F13" s="401"/>
    </row>
    <row r="14" spans="1:15">
      <c r="B14" s="1107"/>
      <c r="C14" s="842"/>
      <c r="D14" s="401"/>
      <c r="F14" s="401"/>
    </row>
    <row r="15" spans="1:15">
      <c r="A15" s="413">
        <f>+A13+1</f>
        <v>3</v>
      </c>
      <c r="B15" s="1107" t="s">
        <v>72</v>
      </c>
      <c r="C15" s="836"/>
      <c r="D15" s="401"/>
      <c r="F15" s="401"/>
    </row>
    <row r="16" spans="1:15">
      <c r="B16" s="1107"/>
      <c r="C16" s="842"/>
      <c r="D16" s="401"/>
      <c r="F16" s="401"/>
    </row>
    <row r="17" spans="1:6">
      <c r="A17" s="413">
        <f>+A15+1</f>
        <v>4</v>
      </c>
      <c r="B17" s="1108" t="s">
        <v>228</v>
      </c>
      <c r="C17" s="842"/>
      <c r="D17" s="401"/>
      <c r="F17" s="401"/>
    </row>
    <row r="18" spans="1:6">
      <c r="A18" s="413">
        <f>+A17+1</f>
        <v>5</v>
      </c>
      <c r="B18" s="1107" t="s">
        <v>73</v>
      </c>
      <c r="C18" s="836"/>
      <c r="D18" s="401"/>
      <c r="F18" s="401"/>
    </row>
    <row r="19" spans="1:6">
      <c r="A19" s="413">
        <f>+A18+1</f>
        <v>6</v>
      </c>
      <c r="B19" s="1100" t="s">
        <v>114</v>
      </c>
      <c r="C19" s="843">
        <v>0</v>
      </c>
      <c r="D19" s="401"/>
      <c r="F19" s="401"/>
    </row>
    <row r="20" spans="1:6">
      <c r="B20" s="566"/>
      <c r="C20" s="844"/>
      <c r="D20" s="401"/>
      <c r="F20" s="401"/>
    </row>
    <row r="21" spans="1:6">
      <c r="A21" s="413">
        <f>+A19+1</f>
        <v>7</v>
      </c>
      <c r="B21" s="1107" t="str">
        <f>"Net Funds from IPP Customers 12/31/"&amp;TCOS!L4&amp;" ("&amp;TCOS!L4&amp;" FORM 1, P269)"</f>
        <v>Net Funds from IPP Customers 12/31/2022 (2022 FORM 1, P269)</v>
      </c>
      <c r="C21" s="528">
        <f>+C11+C13+C15+C18+C19</f>
        <v>0</v>
      </c>
      <c r="D21" s="529"/>
      <c r="F21" s="401"/>
    </row>
    <row r="22" spans="1:6">
      <c r="B22" s="566"/>
      <c r="C22" s="528"/>
      <c r="D22" s="401"/>
      <c r="F22" s="401"/>
    </row>
    <row r="23" spans="1:6">
      <c r="A23" s="413">
        <f>+A21+1</f>
        <v>8</v>
      </c>
      <c r="B23" s="1107" t="str">
        <f>"Average Balance for Year as Indicated in Column B ((ln "&amp;A11&amp;" + ln "&amp;A21&amp;")/2)"</f>
        <v>Average Balance for Year as Indicated in Column B ((ln 1 + ln 7)/2)</v>
      </c>
      <c r="C23" s="530">
        <f>AVERAGE(C21,C11)</f>
        <v>0</v>
      </c>
      <c r="D23" s="401"/>
      <c r="F23" s="401"/>
    </row>
    <row r="24" spans="1:6">
      <c r="B24" s="566"/>
      <c r="D24" s="401"/>
    </row>
    <row r="25" spans="1:6">
      <c r="B25" s="357"/>
      <c r="C25" s="531"/>
      <c r="D25" s="401"/>
    </row>
    <row r="26" spans="1:6" ht="15">
      <c r="A26" s="307" t="s">
        <v>498</v>
      </c>
      <c r="B26" s="1532" t="str">
        <f>"On this worksheet Company Records refers to  "&amp;A6&amp;"'s general ledger."</f>
        <v>On this worksheet Company Records refers to  WHEELING POWER COMPANY's general ledger.</v>
      </c>
      <c r="D26" s="401"/>
    </row>
    <row r="27" spans="1:6">
      <c r="B27" s="1533"/>
      <c r="D27" s="401"/>
    </row>
    <row r="28" spans="1:6">
      <c r="B28" s="532"/>
      <c r="D28" s="401"/>
    </row>
    <row r="29" spans="1:6">
      <c r="D29" s="401"/>
    </row>
  </sheetData>
  <mergeCells count="5">
    <mergeCell ref="B26:B27"/>
    <mergeCell ref="A3:E3"/>
    <mergeCell ref="A4:E4"/>
    <mergeCell ref="A5:E5"/>
    <mergeCell ref="A6:E6"/>
  </mergeCells>
  <phoneticPr fontId="0" type="noConversion"/>
  <pageMargins left="0.82" right="0.7" top="1" bottom="1" header="0.75" footer="0.5"/>
  <pageSetup scale="87" orientation="portrait" r:id="rId1"/>
  <headerFooter alignWithMargins="0">
    <oddHeader>&amp;R&amp;"Arial,Bold"Formula Rate 
&amp;A
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pageSetUpPr fitToPage="1"/>
  </sheetPr>
  <dimension ref="A1:AO41"/>
  <sheetViews>
    <sheetView view="pageBreakPreview" topLeftCell="B6" zoomScaleNormal="100" zoomScaleSheetLayoutView="100" workbookViewId="0">
      <selection activeCell="K18" sqref="K18"/>
    </sheetView>
  </sheetViews>
  <sheetFormatPr defaultColWidth="9.140625" defaultRowHeight="15"/>
  <cols>
    <col min="1" max="1" width="9.42578125" style="533" customWidth="1"/>
    <col min="2" max="2" width="6.5703125" style="533" customWidth="1"/>
    <col min="3" max="8" width="14.5703125" style="533" customWidth="1"/>
    <col min="9" max="9" width="14.85546875" style="533" bestFit="1" customWidth="1"/>
    <col min="10" max="11" width="16.5703125" style="533" bestFit="1" customWidth="1"/>
    <col min="12" max="13" width="22.140625" style="533" bestFit="1" customWidth="1"/>
    <col min="14" max="14" width="8.42578125" style="533" customWidth="1"/>
    <col min="15" max="38" width="12.5703125" style="533" customWidth="1"/>
    <col min="39" max="16384" width="9.140625" style="533"/>
  </cols>
  <sheetData>
    <row r="1" spans="1:22" ht="15.75">
      <c r="A1" s="881" t="s">
        <v>114</v>
      </c>
    </row>
    <row r="2" spans="1:22" ht="15.75">
      <c r="A2" s="881" t="s">
        <v>114</v>
      </c>
    </row>
    <row r="3" spans="1:22">
      <c r="A3" s="1590" t="str">
        <f>+'WS C  - Working Capital'!A3:L3</f>
        <v>AEP East Companies</v>
      </c>
      <c r="B3" s="1590"/>
      <c r="C3" s="1590"/>
      <c r="D3" s="1590"/>
      <c r="E3" s="1590"/>
      <c r="F3" s="1590"/>
      <c r="G3" s="1590"/>
      <c r="H3" s="1590"/>
      <c r="I3" s="1590"/>
      <c r="J3" s="1590"/>
      <c r="K3" s="1590"/>
      <c r="L3" s="520"/>
      <c r="M3" s="520"/>
      <c r="N3" s="520"/>
      <c r="O3" s="520"/>
    </row>
    <row r="4" spans="1:22">
      <c r="A4" s="1591" t="str">
        <f>"Cost of Service Formula Rate Using Actual/Projected FF1 Balances"</f>
        <v>Cost of Service Formula Rate Using Actual/Projected FF1 Balances</v>
      </c>
      <c r="B4" s="1591"/>
      <c r="C4" s="1591"/>
      <c r="D4" s="1591"/>
      <c r="E4" s="1591"/>
      <c r="F4" s="1591"/>
      <c r="G4" s="1591"/>
      <c r="H4" s="1591"/>
      <c r="I4" s="1591"/>
      <c r="J4" s="1591"/>
      <c r="K4" s="1591"/>
      <c r="L4" s="522"/>
      <c r="M4" s="522"/>
      <c r="N4" s="522"/>
      <c r="O4" s="522"/>
    </row>
    <row r="5" spans="1:22">
      <c r="A5" s="1591" t="s">
        <v>237</v>
      </c>
      <c r="B5" s="1591"/>
      <c r="C5" s="1591"/>
      <c r="D5" s="1591"/>
      <c r="E5" s="1591"/>
      <c r="F5" s="1591"/>
      <c r="G5" s="1591"/>
      <c r="H5" s="1591"/>
      <c r="I5" s="1591"/>
      <c r="J5" s="1591"/>
      <c r="K5" s="1591"/>
      <c r="L5" s="521"/>
      <c r="M5" s="521"/>
      <c r="N5" s="521"/>
      <c r="O5" s="521"/>
    </row>
    <row r="6" spans="1:22">
      <c r="A6" s="1592" t="str">
        <f>TCOS!F9</f>
        <v>WHEELING POWER COMPANY</v>
      </c>
      <c r="B6" s="1592"/>
      <c r="C6" s="1592"/>
      <c r="D6" s="1592"/>
      <c r="E6" s="1592"/>
      <c r="F6" s="1592"/>
      <c r="G6" s="1592"/>
      <c r="H6" s="1592"/>
      <c r="I6" s="1592"/>
      <c r="J6" s="1592"/>
      <c r="K6" s="1592"/>
      <c r="L6" s="315"/>
      <c r="M6" s="315"/>
      <c r="N6" s="315"/>
      <c r="O6" s="315"/>
    </row>
    <row r="7" spans="1:22">
      <c r="A7" s="534"/>
      <c r="B7" s="534"/>
      <c r="C7" s="534"/>
      <c r="D7" s="534"/>
      <c r="E7" s="534"/>
      <c r="F7" s="534"/>
      <c r="G7" s="534"/>
      <c r="H7" s="534"/>
      <c r="I7" s="534"/>
      <c r="J7" s="534"/>
      <c r="K7" s="534"/>
      <c r="L7" s="534"/>
      <c r="M7" s="534"/>
      <c r="N7" s="534"/>
      <c r="O7" s="534"/>
    </row>
    <row r="8" spans="1:22" ht="18">
      <c r="A8" s="1595"/>
      <c r="B8" s="1595"/>
      <c r="C8" s="1595"/>
      <c r="D8" s="1595"/>
      <c r="E8" s="1595"/>
      <c r="F8" s="1595"/>
      <c r="G8" s="1595"/>
      <c r="H8" s="1595"/>
      <c r="I8" s="1595"/>
      <c r="J8" s="1595"/>
      <c r="K8" s="1595"/>
      <c r="L8" s="536"/>
      <c r="M8" s="537"/>
    </row>
    <row r="9" spans="1:22" ht="18">
      <c r="A9" s="535"/>
      <c r="B9" s="535"/>
      <c r="C9" s="535"/>
      <c r="D9" s="535"/>
      <c r="E9" s="535"/>
      <c r="F9" s="535"/>
      <c r="G9" s="535"/>
      <c r="H9" s="535"/>
      <c r="I9" s="535"/>
      <c r="J9" s="535"/>
      <c r="K9" s="535"/>
      <c r="L9" s="536"/>
      <c r="M9" s="537"/>
    </row>
    <row r="10" spans="1:22" ht="15.75">
      <c r="A10" s="538" t="s">
        <v>169</v>
      </c>
      <c r="B10" s="536"/>
      <c r="C10" s="539"/>
      <c r="D10" s="539"/>
      <c r="E10" s="539"/>
      <c r="F10" s="539"/>
      <c r="G10" s="540"/>
      <c r="H10" s="540"/>
      <c r="I10" s="538" t="s">
        <v>182</v>
      </c>
      <c r="J10" s="538" t="s">
        <v>28</v>
      </c>
      <c r="K10" s="541"/>
      <c r="N10" s="542"/>
      <c r="P10" s="542"/>
      <c r="R10" s="542"/>
      <c r="S10" s="542"/>
      <c r="T10" s="542"/>
      <c r="U10" s="508"/>
      <c r="V10" s="508"/>
    </row>
    <row r="11" spans="1:22" ht="15.75">
      <c r="A11" s="538" t="s">
        <v>106</v>
      </c>
      <c r="B11" s="1596" t="s">
        <v>167</v>
      </c>
      <c r="C11" s="1596"/>
      <c r="D11" s="1596"/>
      <c r="E11" s="1596"/>
      <c r="F11" s="1596"/>
      <c r="G11" s="1596"/>
      <c r="H11" s="1596"/>
      <c r="I11" s="543" t="s">
        <v>183</v>
      </c>
      <c r="J11" s="543" t="s">
        <v>115</v>
      </c>
      <c r="K11" s="543" t="s">
        <v>115</v>
      </c>
      <c r="L11" s="544"/>
      <c r="M11" s="544"/>
      <c r="N11" s="542"/>
      <c r="O11" s="542"/>
      <c r="P11" s="542"/>
      <c r="Q11" s="542"/>
      <c r="R11" s="542"/>
      <c r="S11" s="542"/>
      <c r="T11" s="545"/>
      <c r="U11" s="508"/>
      <c r="V11" s="508"/>
    </row>
    <row r="12" spans="1:22" ht="15.75">
      <c r="A12" s="540"/>
      <c r="B12" s="546"/>
      <c r="C12" s="536"/>
      <c r="D12" s="540"/>
      <c r="E12" s="540"/>
      <c r="F12" s="540"/>
      <c r="G12" s="540"/>
      <c r="H12" s="540"/>
      <c r="I12" s="540"/>
      <c r="J12" s="540"/>
      <c r="K12" s="547"/>
      <c r="L12" s="544"/>
      <c r="M12" s="544"/>
      <c r="N12" s="542"/>
      <c r="O12" s="542"/>
      <c r="P12" s="542"/>
      <c r="Q12" s="542"/>
      <c r="R12" s="542"/>
      <c r="S12" s="542"/>
      <c r="T12" s="545"/>
      <c r="U12" s="508"/>
      <c r="V12" s="508"/>
    </row>
    <row r="13" spans="1:22" s="554" customFormat="1" ht="12.75">
      <c r="A13" s="548">
        <v>1</v>
      </c>
      <c r="B13" s="549" t="s">
        <v>481</v>
      </c>
      <c r="C13" s="532"/>
      <c r="D13" s="550"/>
      <c r="E13" s="550"/>
      <c r="F13" s="550"/>
      <c r="G13" s="550"/>
      <c r="H13" s="550"/>
      <c r="I13" s="845">
        <v>160896.9</v>
      </c>
      <c r="J13" s="551">
        <f>+I13-K12</f>
        <v>160896.9</v>
      </c>
      <c r="K13" s="845">
        <v>0</v>
      </c>
      <c r="L13" s="552"/>
      <c r="M13" s="552"/>
      <c r="N13" s="532"/>
      <c r="O13" s="532"/>
      <c r="P13" s="532"/>
      <c r="Q13" s="532"/>
      <c r="R13" s="532"/>
      <c r="S13" s="532"/>
      <c r="T13" s="553"/>
      <c r="U13" s="532"/>
      <c r="V13" s="532"/>
    </row>
    <row r="14" spans="1:22" s="554" customFormat="1" ht="12.75">
      <c r="A14" s="555"/>
      <c r="B14" s="556"/>
      <c r="C14" s="557"/>
      <c r="D14" s="558"/>
      <c r="E14" s="558"/>
      <c r="F14" s="558"/>
      <c r="G14" s="558"/>
      <c r="H14" s="550"/>
      <c r="I14" s="559"/>
      <c r="J14" s="560"/>
      <c r="K14" s="559"/>
      <c r="L14" s="552"/>
      <c r="M14" s="552"/>
      <c r="N14" s="532"/>
      <c r="O14" s="532"/>
      <c r="P14" s="532"/>
      <c r="Q14" s="532"/>
      <c r="R14" s="532"/>
      <c r="S14" s="532"/>
      <c r="T14" s="553"/>
      <c r="U14" s="532"/>
      <c r="V14" s="532"/>
    </row>
    <row r="15" spans="1:22" s="554" customFormat="1" ht="12.75">
      <c r="A15" s="548">
        <f>+A13+1</f>
        <v>2</v>
      </c>
      <c r="B15" s="561" t="s">
        <v>482</v>
      </c>
      <c r="C15" s="532"/>
      <c r="D15" s="550"/>
      <c r="E15" s="550"/>
      <c r="F15" s="550"/>
      <c r="G15" s="550"/>
      <c r="H15" s="550"/>
      <c r="I15" s="845">
        <v>39233.96</v>
      </c>
      <c r="J15" s="551">
        <f>+I15-K15</f>
        <v>39233.96</v>
      </c>
      <c r="K15" s="845">
        <v>0</v>
      </c>
      <c r="L15" s="552"/>
      <c r="M15" s="552"/>
      <c r="N15" s="532"/>
      <c r="O15" s="532"/>
      <c r="P15" s="532"/>
      <c r="Q15" s="532"/>
      <c r="R15" s="532"/>
      <c r="S15" s="532"/>
      <c r="T15" s="532"/>
      <c r="U15" s="532"/>
      <c r="V15" s="532"/>
    </row>
    <row r="16" spans="1:22" s="554" customFormat="1" ht="12.75">
      <c r="A16" s="555"/>
      <c r="B16" s="562"/>
      <c r="C16" s="557"/>
      <c r="D16" s="558"/>
      <c r="E16" s="558"/>
      <c r="F16" s="558"/>
      <c r="G16" s="558"/>
      <c r="H16" s="550"/>
      <c r="I16" s="560"/>
      <c r="J16" s="560"/>
      <c r="K16" s="560"/>
      <c r="L16" s="552"/>
      <c r="M16" s="552"/>
      <c r="N16" s="532"/>
      <c r="O16" s="532"/>
      <c r="P16" s="532"/>
      <c r="Q16" s="532"/>
      <c r="R16" s="532"/>
      <c r="S16" s="532"/>
      <c r="T16" s="532"/>
      <c r="U16" s="532"/>
      <c r="V16" s="532"/>
    </row>
    <row r="17" spans="1:22" s="554" customFormat="1" ht="12.75">
      <c r="A17" s="548">
        <f>+A15+1</f>
        <v>3</v>
      </c>
      <c r="B17" s="561" t="s">
        <v>483</v>
      </c>
      <c r="C17" s="532"/>
      <c r="D17" s="550"/>
      <c r="E17" s="550"/>
      <c r="F17" s="550"/>
      <c r="G17" s="550"/>
      <c r="H17" s="550"/>
      <c r="I17" s="845">
        <v>4101989.8479999998</v>
      </c>
      <c r="J17" s="551">
        <f>+I17-K17</f>
        <v>2715554.858</v>
      </c>
      <c r="K17" s="845">
        <v>1386434.99</v>
      </c>
      <c r="L17" s="552"/>
      <c r="M17" s="552"/>
      <c r="N17" s="532"/>
      <c r="O17" s="532"/>
      <c r="P17" s="532"/>
      <c r="Q17" s="532"/>
      <c r="R17" s="532"/>
      <c r="S17" s="532"/>
      <c r="T17" s="532"/>
      <c r="U17" s="532"/>
      <c r="V17" s="532"/>
    </row>
    <row r="18" spans="1:22" s="554" customFormat="1" ht="12.75">
      <c r="A18" s="555"/>
      <c r="B18" s="560"/>
      <c r="C18" s="566"/>
      <c r="D18" s="560"/>
      <c r="E18" s="560"/>
      <c r="F18" s="560"/>
      <c r="G18" s="563"/>
      <c r="H18" s="560"/>
      <c r="I18" s="560"/>
      <c r="J18" s="560"/>
      <c r="K18" s="560" t="s">
        <v>114</v>
      </c>
      <c r="L18" s="552"/>
      <c r="M18" s="552"/>
      <c r="N18" s="532"/>
      <c r="O18" s="532"/>
      <c r="P18" s="532"/>
      <c r="Q18" s="532"/>
      <c r="R18" s="532"/>
      <c r="S18" s="532"/>
      <c r="T18" s="532"/>
      <c r="U18" s="532"/>
      <c r="V18" s="532"/>
    </row>
    <row r="19" spans="1:22" s="554" customFormat="1" ht="12.75">
      <c r="A19" s="548">
        <f>+A17+1</f>
        <v>4</v>
      </c>
      <c r="B19" s="549" t="s">
        <v>756</v>
      </c>
      <c r="C19" s="566"/>
      <c r="D19" s="560"/>
      <c r="E19" s="560"/>
      <c r="F19" s="560"/>
      <c r="G19" s="563"/>
      <c r="H19" s="560"/>
      <c r="I19" s="845">
        <v>251924.05000000002</v>
      </c>
      <c r="J19" s="551">
        <f>+I19-K19</f>
        <v>251924.05000000002</v>
      </c>
      <c r="K19" s="845">
        <v>0</v>
      </c>
      <c r="L19" s="552"/>
      <c r="M19" s="552"/>
      <c r="N19" s="565"/>
      <c r="O19" s="532"/>
      <c r="P19" s="532"/>
      <c r="Q19" s="532"/>
      <c r="R19" s="532"/>
      <c r="S19" s="532"/>
      <c r="T19" s="532"/>
      <c r="U19" s="532"/>
      <c r="V19" s="532"/>
    </row>
    <row r="20" spans="1:22" s="554" customFormat="1" ht="12.75">
      <c r="A20" s="555"/>
      <c r="B20" s="549"/>
      <c r="C20" s="566"/>
      <c r="D20" s="560"/>
      <c r="E20" s="560"/>
      <c r="F20" s="560"/>
      <c r="G20" s="563"/>
      <c r="H20" s="560"/>
      <c r="I20" s="532"/>
      <c r="J20" s="532"/>
      <c r="K20" s="532" t="s">
        <v>114</v>
      </c>
      <c r="L20" s="566"/>
      <c r="M20" s="552"/>
      <c r="N20" s="565"/>
      <c r="O20" s="532"/>
      <c r="P20" s="532"/>
      <c r="Q20" s="532"/>
      <c r="R20" s="532"/>
      <c r="S20" s="532"/>
      <c r="T20" s="532"/>
      <c r="U20" s="532"/>
      <c r="V20" s="532"/>
    </row>
    <row r="21" spans="1:22" s="554" customFormat="1" ht="12.75">
      <c r="A21" s="548">
        <f>+A19+1</f>
        <v>5</v>
      </c>
      <c r="B21" s="549" t="s">
        <v>757</v>
      </c>
      <c r="C21" s="566"/>
      <c r="D21" s="560"/>
      <c r="E21" s="560"/>
      <c r="F21" s="560"/>
      <c r="G21" s="563"/>
      <c r="H21" s="560"/>
      <c r="I21" s="845">
        <v>6890647.4699999997</v>
      </c>
      <c r="J21" s="551">
        <f>+I21-K21</f>
        <v>4152294.4699999997</v>
      </c>
      <c r="K21" s="845">
        <v>2738353</v>
      </c>
      <c r="L21" s="552"/>
      <c r="M21" s="552"/>
      <c r="N21" s="565"/>
      <c r="O21" s="532"/>
      <c r="P21" s="532"/>
      <c r="Q21" s="532"/>
      <c r="R21" s="532"/>
      <c r="S21" s="532"/>
      <c r="T21" s="532"/>
      <c r="U21" s="532"/>
      <c r="V21" s="532"/>
    </row>
    <row r="22" spans="1:22" s="554" customFormat="1" ht="12.75">
      <c r="A22" s="548"/>
      <c r="B22" s="549"/>
      <c r="C22" s="566"/>
      <c r="D22" s="560"/>
      <c r="E22" s="560"/>
      <c r="F22" s="560"/>
      <c r="G22" s="563"/>
      <c r="H22" s="560"/>
      <c r="I22" s="880"/>
      <c r="J22" s="551"/>
      <c r="K22" s="880"/>
      <c r="L22" s="552"/>
      <c r="M22" s="552"/>
      <c r="N22" s="565"/>
      <c r="O22" s="532"/>
      <c r="P22" s="532"/>
      <c r="Q22" s="532"/>
      <c r="R22" s="532"/>
      <c r="S22" s="532"/>
      <c r="T22" s="532"/>
      <c r="U22" s="532"/>
      <c r="V22" s="532"/>
    </row>
    <row r="23" spans="1:22" s="554" customFormat="1" ht="12.75">
      <c r="A23" s="548" t="s">
        <v>617</v>
      </c>
      <c r="B23" s="549" t="s">
        <v>620</v>
      </c>
      <c r="C23" s="566"/>
      <c r="D23" s="560"/>
      <c r="E23" s="560"/>
      <c r="F23" s="560"/>
      <c r="G23" s="563"/>
      <c r="H23" s="560"/>
      <c r="I23" s="845"/>
      <c r="J23" s="551">
        <v>0</v>
      </c>
      <c r="K23" s="845"/>
      <c r="L23" s="552"/>
      <c r="M23" s="552"/>
      <c r="N23" s="565"/>
      <c r="O23" s="532"/>
      <c r="P23" s="532"/>
      <c r="Q23" s="532"/>
      <c r="R23" s="532"/>
      <c r="S23" s="532"/>
      <c r="T23" s="532"/>
      <c r="U23" s="532"/>
      <c r="V23" s="532"/>
    </row>
    <row r="24" spans="1:22" s="554" customFormat="1" ht="12.75">
      <c r="A24" s="548"/>
      <c r="B24" s="549"/>
      <c r="C24" s="566"/>
      <c r="D24" s="560"/>
      <c r="E24" s="560"/>
      <c r="F24" s="560"/>
      <c r="G24" s="563"/>
      <c r="H24" s="560"/>
      <c r="I24" s="880"/>
      <c r="J24" s="551"/>
      <c r="K24" s="880"/>
      <c r="L24" s="552"/>
      <c r="M24" s="552"/>
      <c r="N24" s="565"/>
      <c r="O24" s="532"/>
      <c r="P24" s="532"/>
      <c r="Q24" s="532"/>
      <c r="R24" s="532"/>
      <c r="S24" s="532"/>
      <c r="T24" s="532"/>
      <c r="U24" s="532"/>
      <c r="V24" s="532"/>
    </row>
    <row r="25" spans="1:22" s="554" customFormat="1" ht="12.75">
      <c r="A25" s="548" t="s">
        <v>618</v>
      </c>
      <c r="B25" s="549" t="s">
        <v>619</v>
      </c>
      <c r="C25" s="566"/>
      <c r="D25" s="560"/>
      <c r="E25" s="560"/>
      <c r="F25" s="560"/>
      <c r="G25" s="563"/>
      <c r="H25" s="560"/>
      <c r="I25" s="845"/>
      <c r="J25" s="551">
        <v>0</v>
      </c>
      <c r="K25" s="845"/>
      <c r="L25" s="552"/>
      <c r="M25" s="552"/>
      <c r="N25" s="565"/>
      <c r="O25" s="532"/>
      <c r="P25" s="532"/>
      <c r="Q25" s="532"/>
      <c r="R25" s="532"/>
      <c r="S25" s="532"/>
      <c r="T25" s="532"/>
      <c r="U25" s="532"/>
      <c r="V25" s="532"/>
    </row>
    <row r="26" spans="1:22" s="554" customFormat="1" ht="12.75">
      <c r="A26" s="548"/>
      <c r="B26" s="549"/>
      <c r="C26" s="566"/>
      <c r="D26" s="560"/>
      <c r="E26" s="560"/>
      <c r="F26" s="560"/>
      <c r="G26" s="563"/>
      <c r="H26" s="560"/>
      <c r="I26" s="532"/>
      <c r="J26" s="532"/>
      <c r="L26" s="552"/>
      <c r="M26" s="552"/>
      <c r="N26" s="532"/>
      <c r="O26" s="532"/>
      <c r="P26" s="532"/>
      <c r="Q26" s="532"/>
      <c r="R26" s="532"/>
      <c r="S26" s="532"/>
      <c r="T26" s="532"/>
      <c r="U26" s="532"/>
      <c r="V26" s="532"/>
    </row>
    <row r="27" spans="1:22" s="554" customFormat="1" ht="12.75">
      <c r="A27" s="548">
        <f>+A21+1</f>
        <v>6</v>
      </c>
      <c r="B27" s="549" t="s">
        <v>74</v>
      </c>
      <c r="C27" s="566"/>
      <c r="D27" s="560"/>
      <c r="E27" s="560"/>
      <c r="F27" s="560"/>
      <c r="G27" s="563"/>
      <c r="H27" s="560"/>
      <c r="I27" s="567">
        <f>+I21+I19+I17+I15+I13+I23+I25</f>
        <v>11444692.228</v>
      </c>
      <c r="J27" s="567">
        <f>+J21+J19+J17+J15+J13+J23+J25</f>
        <v>7319904.2379999999</v>
      </c>
      <c r="K27" s="567">
        <f>+K21+K19+K17+K15+K13+K23+K25</f>
        <v>4124787.99</v>
      </c>
      <c r="L27" s="552"/>
      <c r="M27" s="552"/>
      <c r="N27" s="532"/>
      <c r="O27" s="532"/>
      <c r="P27" s="532"/>
      <c r="Q27" s="532"/>
      <c r="R27" s="532"/>
      <c r="S27" s="532"/>
      <c r="T27" s="532"/>
      <c r="U27" s="532"/>
      <c r="V27" s="532"/>
    </row>
    <row r="28" spans="1:22" s="554" customFormat="1" ht="12.75">
      <c r="A28" s="548"/>
      <c r="B28" s="549"/>
      <c r="C28" s="566"/>
      <c r="D28" s="560"/>
      <c r="E28" s="560"/>
      <c r="F28" s="560"/>
      <c r="G28" s="563"/>
      <c r="H28" s="560"/>
      <c r="I28" s="532"/>
      <c r="J28" s="532"/>
      <c r="K28" s="532"/>
      <c r="L28" s="552"/>
      <c r="M28" s="552"/>
      <c r="N28" s="532"/>
      <c r="O28" s="532"/>
      <c r="P28" s="532"/>
      <c r="Q28" s="532"/>
      <c r="R28" s="532"/>
      <c r="S28" s="532"/>
      <c r="T28" s="532"/>
      <c r="U28" s="532"/>
      <c r="V28" s="532"/>
    </row>
    <row r="29" spans="1:22" s="554" customFormat="1" ht="12.75">
      <c r="A29" s="548">
        <f>+A27+1</f>
        <v>7</v>
      </c>
      <c r="B29" s="1594" t="s">
        <v>484</v>
      </c>
      <c r="C29" s="1533"/>
      <c r="D29" s="1533"/>
      <c r="E29" s="1533"/>
      <c r="F29" s="1533"/>
      <c r="G29" s="1533"/>
      <c r="H29" s="560"/>
      <c r="I29" s="845"/>
      <c r="J29" s="551">
        <f>+I29-K29</f>
        <v>0</v>
      </c>
      <c r="K29" s="845"/>
      <c r="L29" s="552"/>
      <c r="M29" s="552"/>
      <c r="N29" s="532"/>
      <c r="O29" s="532"/>
      <c r="P29" s="532"/>
      <c r="Q29" s="532"/>
      <c r="R29" s="532"/>
      <c r="S29" s="532"/>
      <c r="T29" s="532"/>
      <c r="U29" s="532"/>
      <c r="V29" s="532"/>
    </row>
    <row r="30" spans="1:22" s="554" customFormat="1" ht="12.75">
      <c r="A30" s="1100"/>
      <c r="B30" s="1533"/>
      <c r="C30" s="1533"/>
      <c r="D30" s="1533"/>
      <c r="E30" s="1533"/>
      <c r="F30" s="1533"/>
      <c r="G30" s="1533"/>
      <c r="H30" s="550"/>
      <c r="I30" s="568"/>
      <c r="J30" s="550"/>
      <c r="K30" s="569"/>
      <c r="L30" s="552"/>
      <c r="M30" s="552"/>
      <c r="N30" s="532"/>
      <c r="O30" s="532"/>
      <c r="P30" s="532"/>
      <c r="Q30" s="532"/>
      <c r="R30" s="532"/>
      <c r="S30" s="532"/>
      <c r="T30" s="532"/>
      <c r="U30" s="532"/>
      <c r="V30" s="532"/>
    </row>
    <row r="31" spans="1:22" s="554" customFormat="1" ht="12.75">
      <c r="A31" s="548">
        <f>+A29+1</f>
        <v>8</v>
      </c>
      <c r="B31" s="556" t="s">
        <v>215</v>
      </c>
      <c r="C31" s="557"/>
      <c r="D31" s="558"/>
      <c r="E31" s="558"/>
      <c r="F31" s="558"/>
      <c r="G31" s="564"/>
      <c r="H31" s="550"/>
      <c r="I31" s="570">
        <f>SUM(I27:I29)</f>
        <v>11444692.228</v>
      </c>
      <c r="J31" s="570">
        <f>SUM(J27:J29)</f>
        <v>7319904.2379999999</v>
      </c>
      <c r="K31" s="570">
        <f>SUM(K27:K29)</f>
        <v>4124787.99</v>
      </c>
      <c r="L31" s="552"/>
      <c r="M31" s="552"/>
      <c r="N31" s="532"/>
      <c r="O31" s="532"/>
      <c r="P31" s="532"/>
      <c r="Q31" s="532"/>
      <c r="R31" s="532"/>
      <c r="S31" s="532"/>
      <c r="T31" s="532"/>
      <c r="U31" s="532"/>
      <c r="V31" s="532"/>
    </row>
    <row r="32" spans="1:22" s="554" customFormat="1" ht="12.75">
      <c r="A32" s="548"/>
      <c r="B32" s="556"/>
      <c r="C32" s="557"/>
      <c r="D32" s="558"/>
      <c r="E32" s="558"/>
      <c r="F32" s="558"/>
      <c r="G32" s="564"/>
      <c r="H32" s="550"/>
      <c r="I32" s="569"/>
      <c r="J32" s="569"/>
      <c r="K32" s="569"/>
      <c r="L32" s="552"/>
      <c r="M32" s="552"/>
      <c r="N32" s="532"/>
      <c r="O32" s="532"/>
      <c r="P32" s="532"/>
      <c r="Q32" s="532"/>
      <c r="R32" s="532"/>
      <c r="S32" s="532"/>
      <c r="T32" s="532"/>
      <c r="U32" s="532"/>
      <c r="V32" s="532"/>
    </row>
    <row r="33" spans="1:41" s="554" customFormat="1" ht="12.75">
      <c r="A33" s="548"/>
      <c r="B33" s="556"/>
      <c r="C33" s="557"/>
      <c r="D33" s="558"/>
      <c r="E33" s="558"/>
      <c r="F33" s="558"/>
      <c r="G33" s="564"/>
      <c r="H33" s="550"/>
      <c r="I33" s="569"/>
      <c r="J33" s="569"/>
      <c r="K33" s="569"/>
      <c r="L33" s="552"/>
      <c r="M33" s="552"/>
      <c r="N33" s="532"/>
      <c r="O33" s="532"/>
      <c r="P33" s="532"/>
      <c r="Q33" s="532"/>
      <c r="R33" s="532"/>
      <c r="S33" s="532"/>
      <c r="T33" s="532"/>
      <c r="U33" s="532"/>
      <c r="V33" s="532"/>
    </row>
    <row r="34" spans="1:41" s="554" customFormat="1" ht="12.75">
      <c r="A34" s="1111"/>
      <c r="L34" s="552"/>
      <c r="M34" s="552"/>
      <c r="N34" s="532"/>
      <c r="O34" s="532"/>
      <c r="P34" s="532"/>
      <c r="Q34" s="532"/>
      <c r="R34" s="532"/>
      <c r="S34" s="532"/>
      <c r="T34" s="532"/>
      <c r="U34" s="532"/>
      <c r="V34" s="532"/>
    </row>
    <row r="35" spans="1:41">
      <c r="A35" s="1112"/>
      <c r="B35" s="532"/>
      <c r="C35" s="549"/>
      <c r="D35" s="550"/>
      <c r="E35" s="550"/>
      <c r="F35" s="550"/>
      <c r="G35" s="563"/>
      <c r="H35" s="550"/>
      <c r="I35" s="550"/>
      <c r="J35" s="550"/>
      <c r="K35" s="550"/>
      <c r="L35" s="571"/>
      <c r="M35" s="572"/>
      <c r="N35" s="508"/>
      <c r="O35" s="539"/>
      <c r="P35" s="539"/>
      <c r="Q35" s="539"/>
      <c r="R35" s="539"/>
      <c r="S35" s="508"/>
      <c r="T35" s="508"/>
      <c r="U35" s="508"/>
      <c r="V35" s="508"/>
    </row>
    <row r="36" spans="1:41" ht="15" customHeight="1">
      <c r="A36" s="1100" t="s">
        <v>498</v>
      </c>
      <c r="B36" s="1593" t="str">
        <f>"The total company data on this worksheet comes from the indicated FF1 source, or "&amp;A6&amp;"'s general ledger. The functional amounts identified as transmission revenue also come from the general ledger. "</f>
        <v xml:space="preserve">The total company data on this worksheet comes from the indicated FF1 source, or WHEELING POWER COMPANY's general ledger. The functional amounts identified as transmission revenue also come from the general ledger. </v>
      </c>
      <c r="C36" s="1593"/>
      <c r="D36" s="1593"/>
      <c r="E36" s="1593"/>
      <c r="F36" s="1593"/>
      <c r="G36" s="1593"/>
      <c r="H36" s="1593"/>
      <c r="I36" s="1593"/>
      <c r="J36" s="1593"/>
      <c r="K36" s="532"/>
      <c r="L36" s="574"/>
      <c r="M36" s="574"/>
      <c r="N36" s="508"/>
      <c r="O36" s="539"/>
      <c r="P36" s="539"/>
      <c r="Q36" s="539"/>
      <c r="R36" s="539"/>
      <c r="S36" s="508"/>
      <c r="T36" s="542"/>
      <c r="U36" s="508"/>
      <c r="V36" s="508"/>
    </row>
    <row r="37" spans="1:41" ht="15.75">
      <c r="A37" s="1100"/>
      <c r="B37" s="1593"/>
      <c r="C37" s="1593"/>
      <c r="D37" s="1593"/>
      <c r="E37" s="1593"/>
      <c r="F37" s="1593"/>
      <c r="G37" s="1593"/>
      <c r="H37" s="1593"/>
      <c r="I37" s="1593"/>
      <c r="J37" s="1593"/>
      <c r="K37" s="532"/>
      <c r="L37" s="507"/>
      <c r="M37" s="575"/>
      <c r="N37" s="575"/>
      <c r="O37" s="575"/>
      <c r="P37" s="575"/>
      <c r="Q37" s="575"/>
      <c r="R37" s="507"/>
      <c r="S37" s="507"/>
      <c r="T37" s="507"/>
      <c r="U37" s="507"/>
      <c r="V37" s="507"/>
      <c r="W37" s="544"/>
      <c r="X37" s="544"/>
      <c r="Y37" s="544"/>
      <c r="Z37" s="544"/>
      <c r="AA37" s="544"/>
      <c r="AB37" s="544"/>
      <c r="AC37" s="544"/>
      <c r="AD37" s="544"/>
      <c r="AE37" s="544"/>
      <c r="AF37" s="544"/>
      <c r="AG37" s="544"/>
      <c r="AH37" s="544"/>
      <c r="AI37" s="544"/>
      <c r="AJ37" s="544"/>
      <c r="AK37" s="544"/>
      <c r="AL37" s="544"/>
      <c r="AM37" s="544"/>
      <c r="AN37" s="544"/>
      <c r="AO37" s="544"/>
    </row>
    <row r="38" spans="1:41" ht="15.75">
      <c r="A38" s="1100" t="s">
        <v>615</v>
      </c>
      <c r="B38" s="1109" t="s">
        <v>616</v>
      </c>
      <c r="C38" s="1110"/>
      <c r="D38" s="1110"/>
      <c r="E38" s="1110"/>
      <c r="F38" s="1110"/>
      <c r="G38" s="1110"/>
      <c r="H38" s="1110"/>
      <c r="I38" s="573"/>
      <c r="J38" s="573"/>
      <c r="K38" s="576"/>
      <c r="L38" s="507"/>
      <c r="M38" s="575"/>
      <c r="N38" s="575"/>
      <c r="O38" s="575"/>
      <c r="P38" s="575"/>
      <c r="Q38" s="575"/>
      <c r="R38" s="507"/>
      <c r="S38" s="507"/>
      <c r="T38" s="507"/>
      <c r="U38" s="507"/>
      <c r="V38" s="507"/>
      <c r="W38" s="544"/>
      <c r="X38" s="544"/>
      <c r="Y38" s="544"/>
      <c r="Z38" s="544"/>
      <c r="AA38" s="544"/>
      <c r="AB38" s="544"/>
      <c r="AC38" s="544"/>
      <c r="AD38" s="544"/>
      <c r="AE38" s="544"/>
      <c r="AF38" s="544"/>
      <c r="AG38" s="544"/>
      <c r="AH38" s="544"/>
      <c r="AI38" s="544"/>
      <c r="AJ38" s="544"/>
      <c r="AK38" s="544"/>
      <c r="AL38" s="544"/>
      <c r="AM38" s="544"/>
      <c r="AN38" s="544"/>
      <c r="AO38" s="544"/>
    </row>
    <row r="39" spans="1:41" ht="15.75">
      <c r="A39" s="548">
        <f>+A31+1</f>
        <v>9</v>
      </c>
      <c r="B39" s="561" t="s">
        <v>533</v>
      </c>
      <c r="C39" s="532"/>
      <c r="D39" s="550"/>
      <c r="E39" s="550"/>
      <c r="F39" s="550"/>
      <c r="G39" s="563"/>
      <c r="H39" s="550"/>
      <c r="I39" s="569"/>
      <c r="J39" s="569"/>
      <c r="K39" s="845">
        <v>0</v>
      </c>
      <c r="L39" s="507"/>
      <c r="M39" s="575"/>
      <c r="N39" s="575"/>
      <c r="O39" s="575"/>
      <c r="P39" s="575"/>
      <c r="Q39" s="575"/>
      <c r="R39" s="507"/>
      <c r="S39" s="507"/>
      <c r="T39" s="507"/>
      <c r="U39" s="507"/>
      <c r="V39" s="507"/>
      <c r="W39" s="544"/>
      <c r="X39" s="544"/>
      <c r="Y39" s="544"/>
      <c r="Z39" s="544"/>
      <c r="AA39" s="544"/>
      <c r="AB39" s="544"/>
      <c r="AC39" s="544"/>
      <c r="AD39" s="544"/>
      <c r="AE39" s="544"/>
      <c r="AF39" s="544"/>
      <c r="AG39" s="544"/>
      <c r="AH39" s="544"/>
      <c r="AI39" s="544"/>
      <c r="AJ39" s="544"/>
      <c r="AK39" s="544"/>
      <c r="AL39" s="544"/>
      <c r="AM39" s="544"/>
      <c r="AN39" s="544"/>
      <c r="AO39" s="544"/>
    </row>
    <row r="40" spans="1:41" ht="15.75">
      <c r="A40" s="508"/>
      <c r="B40" s="507"/>
      <c r="E40" s="575"/>
      <c r="F40" s="575"/>
      <c r="G40" s="575"/>
      <c r="H40" s="575"/>
      <c r="I40" s="577"/>
      <c r="J40" s="575"/>
      <c r="K40" s="575"/>
      <c r="L40" s="507"/>
      <c r="M40" s="575"/>
      <c r="N40" s="575"/>
      <c r="O40" s="575"/>
      <c r="P40" s="575"/>
      <c r="Q40" s="575"/>
      <c r="R40" s="507"/>
      <c r="S40" s="507"/>
      <c r="T40" s="507"/>
      <c r="U40" s="507"/>
      <c r="V40" s="507"/>
      <c r="W40" s="544"/>
      <c r="X40" s="544"/>
      <c r="Y40" s="544"/>
      <c r="Z40" s="544"/>
      <c r="AA40" s="544"/>
      <c r="AB40" s="544"/>
      <c r="AC40" s="544"/>
      <c r="AD40" s="544"/>
      <c r="AE40" s="544"/>
      <c r="AF40" s="544"/>
      <c r="AG40" s="544"/>
      <c r="AH40" s="544"/>
      <c r="AI40" s="544"/>
      <c r="AJ40" s="544"/>
      <c r="AK40" s="544"/>
      <c r="AL40" s="544"/>
      <c r="AM40" s="544"/>
      <c r="AN40" s="544"/>
      <c r="AO40" s="544"/>
    </row>
    <row r="41" spans="1:41" ht="15.75">
      <c r="A41" s="508"/>
      <c r="B41" s="507"/>
      <c r="E41" s="575"/>
      <c r="F41" s="575"/>
      <c r="G41" s="575"/>
      <c r="H41" s="575"/>
      <c r="I41" s="575" t="s">
        <v>114</v>
      </c>
      <c r="J41" s="575"/>
      <c r="K41" s="575"/>
      <c r="L41" s="507"/>
      <c r="M41" s="575"/>
      <c r="N41" s="575"/>
      <c r="O41" s="575"/>
      <c r="P41" s="575"/>
      <c r="Q41" s="575"/>
      <c r="R41" s="507"/>
      <c r="S41" s="507"/>
      <c r="T41" s="507"/>
      <c r="U41" s="507"/>
      <c r="V41" s="507"/>
      <c r="W41" s="544"/>
      <c r="X41" s="544"/>
      <c r="Y41" s="544"/>
      <c r="Z41" s="544"/>
      <c r="AA41" s="544"/>
      <c r="AB41" s="544"/>
      <c r="AC41" s="544"/>
      <c r="AD41" s="544"/>
      <c r="AE41" s="544"/>
      <c r="AF41" s="544"/>
      <c r="AG41" s="544"/>
      <c r="AH41" s="544"/>
      <c r="AI41" s="544"/>
      <c r="AJ41" s="544"/>
      <c r="AK41" s="544"/>
      <c r="AL41" s="544"/>
      <c r="AM41" s="544"/>
      <c r="AN41" s="544"/>
      <c r="AO41" s="544"/>
    </row>
  </sheetData>
  <mergeCells count="8">
    <mergeCell ref="B36:J37"/>
    <mergeCell ref="A3:K3"/>
    <mergeCell ref="A4:K4"/>
    <mergeCell ref="A5:K5"/>
    <mergeCell ref="A6:K6"/>
    <mergeCell ref="B29:G30"/>
    <mergeCell ref="A8:K8"/>
    <mergeCell ref="B11:H11"/>
  </mergeCells>
  <phoneticPr fontId="0" type="noConversion"/>
  <pageMargins left="0.26" right="0.63" top="1" bottom="1" header="0.75" footer="0.5"/>
  <pageSetup scale="83" orientation="landscape" r:id="rId1"/>
  <headerFooter alignWithMargins="0">
    <oddHeader>&amp;R&amp;"Arial,Bold"Formula Rate 
&amp;A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pageSetUpPr fitToPage="1"/>
  </sheetPr>
  <dimension ref="A1:S72"/>
  <sheetViews>
    <sheetView view="pageBreakPreview" topLeftCell="A25" zoomScale="85" zoomScaleNormal="85" zoomScaleSheetLayoutView="85" workbookViewId="0">
      <selection activeCell="F69" sqref="F69"/>
    </sheetView>
  </sheetViews>
  <sheetFormatPr defaultColWidth="9.140625" defaultRowHeight="15"/>
  <cols>
    <col min="1" max="1" width="10.42578125" style="53" customWidth="1"/>
    <col min="2" max="2" width="15.140625" style="25" customWidth="1"/>
    <col min="3" max="3" width="59.140625" style="8" customWidth="1"/>
    <col min="4" max="4" width="15.5703125" style="8" customWidth="1"/>
    <col min="5" max="5" width="22" style="8" customWidth="1"/>
    <col min="6" max="6" width="17.42578125" style="8" customWidth="1"/>
    <col min="7" max="7" width="47.5703125" style="8" customWidth="1"/>
    <col min="8" max="8" width="13.85546875" style="8" customWidth="1"/>
    <col min="9" max="9" width="9.140625" style="8"/>
    <col min="10" max="10" width="12.42578125" style="8" bestFit="1" customWidth="1"/>
    <col min="11" max="11" width="13.42578125" style="8" customWidth="1"/>
    <col min="12" max="16384" width="9.140625" style="8"/>
  </cols>
  <sheetData>
    <row r="1" spans="1:11" ht="15.75">
      <c r="A1" s="881" t="s">
        <v>114</v>
      </c>
    </row>
    <row r="2" spans="1:11" ht="15.75">
      <c r="A2" s="881" t="s">
        <v>114</v>
      </c>
    </row>
    <row r="3" spans="1:11">
      <c r="A3" s="1553" t="s">
        <v>387</v>
      </c>
      <c r="B3" s="1553"/>
      <c r="C3" s="1553"/>
      <c r="D3" s="1553"/>
      <c r="E3" s="1553"/>
      <c r="F3" s="1553"/>
      <c r="G3" s="1553"/>
      <c r="H3" s="37"/>
    </row>
    <row r="4" spans="1:11" ht="17.25" customHeight="1">
      <c r="A4" s="1554" t="str">
        <f>"Cost of Service Formula Rate Using Actual/Projected FF1 Balances"</f>
        <v>Cost of Service Formula Rate Using Actual/Projected FF1 Balances</v>
      </c>
      <c r="B4" s="1554"/>
      <c r="C4" s="1554"/>
      <c r="D4" s="1554"/>
      <c r="E4" s="1554"/>
      <c r="F4" s="1554"/>
      <c r="G4" s="1554"/>
      <c r="H4" s="92"/>
      <c r="I4" s="92"/>
      <c r="J4" s="92"/>
      <c r="K4" s="92"/>
    </row>
    <row r="5" spans="1:11" ht="18" customHeight="1">
      <c r="A5" s="1554" t="s">
        <v>487</v>
      </c>
      <c r="B5" s="1554"/>
      <c r="C5" s="1554"/>
      <c r="D5" s="1554"/>
      <c r="E5" s="1554"/>
      <c r="F5" s="1554"/>
      <c r="G5" s="1554"/>
    </row>
    <row r="6" spans="1:11" ht="19.5" customHeight="1">
      <c r="A6" s="1565" t="str">
        <f>TCOS!F9</f>
        <v>WHEELING POWER COMPANY</v>
      </c>
      <c r="B6" s="1565"/>
      <c r="C6" s="1565"/>
      <c r="D6" s="1565"/>
      <c r="E6" s="1565"/>
      <c r="F6" s="1565"/>
      <c r="G6" s="1565"/>
    </row>
    <row r="7" spans="1:11" ht="12.75" customHeight="1">
      <c r="A7" s="1553"/>
      <c r="B7" s="1553"/>
      <c r="C7" s="1553"/>
      <c r="D7" s="1553"/>
      <c r="E7" s="1553"/>
      <c r="F7" s="1553"/>
      <c r="G7" s="43"/>
    </row>
    <row r="8" spans="1:11" ht="18">
      <c r="A8" s="1597"/>
      <c r="B8" s="1597"/>
      <c r="C8" s="1597"/>
      <c r="D8" s="1597"/>
      <c r="E8" s="1597"/>
      <c r="F8" s="1597"/>
      <c r="G8" s="1597"/>
    </row>
    <row r="9" spans="1:11" ht="18">
      <c r="A9" s="156"/>
      <c r="B9" s="156"/>
      <c r="C9" s="156"/>
      <c r="D9" s="156"/>
      <c r="E9" s="156"/>
      <c r="F9" s="156"/>
      <c r="G9" s="156"/>
    </row>
    <row r="10" spans="1:11" ht="15.75">
      <c r="B10" s="34" t="s">
        <v>162</v>
      </c>
      <c r="C10" s="34" t="s">
        <v>163</v>
      </c>
      <c r="D10" s="34" t="s">
        <v>164</v>
      </c>
      <c r="E10" s="34" t="s">
        <v>165</v>
      </c>
      <c r="F10" s="34" t="s">
        <v>84</v>
      </c>
      <c r="G10" s="34" t="s">
        <v>85</v>
      </c>
    </row>
    <row r="11" spans="1:11" ht="15.75">
      <c r="B11" s="45"/>
      <c r="C11" s="43"/>
      <c r="D11" s="185"/>
      <c r="E11" s="186"/>
      <c r="F11" s="187" t="s">
        <v>87</v>
      </c>
      <c r="G11" s="34"/>
    </row>
    <row r="12" spans="1:11" ht="15.75">
      <c r="A12" s="48" t="s">
        <v>169</v>
      </c>
      <c r="B12" s="45"/>
      <c r="C12" s="54"/>
      <c r="D12" s="48">
        <f>+TCOS!L4</f>
        <v>2022</v>
      </c>
      <c r="E12" s="187" t="s">
        <v>87</v>
      </c>
      <c r="F12" s="48" t="s">
        <v>115</v>
      </c>
      <c r="G12" s="34"/>
    </row>
    <row r="13" spans="1:11" ht="15.75">
      <c r="A13" s="48" t="s">
        <v>106</v>
      </c>
      <c r="B13" s="48" t="s">
        <v>36</v>
      </c>
      <c r="C13" s="48" t="s">
        <v>167</v>
      </c>
      <c r="D13" s="48" t="s">
        <v>37</v>
      </c>
      <c r="E13" s="48" t="s">
        <v>89</v>
      </c>
      <c r="F13" s="48" t="s">
        <v>38</v>
      </c>
      <c r="G13" s="48" t="s">
        <v>39</v>
      </c>
    </row>
    <row r="14" spans="1:11" ht="15.75">
      <c r="B14" s="48"/>
      <c r="C14" s="48"/>
      <c r="D14" s="48"/>
      <c r="E14" s="48"/>
      <c r="F14" s="48"/>
      <c r="G14" s="48"/>
    </row>
    <row r="15" spans="1:11" ht="15.75">
      <c r="B15" s="48"/>
      <c r="C15" s="48"/>
      <c r="D15" s="48"/>
      <c r="E15" s="48"/>
      <c r="F15" s="48"/>
      <c r="G15" s="48"/>
    </row>
    <row r="16" spans="1:11" ht="15.75">
      <c r="B16" s="48"/>
      <c r="D16" s="48"/>
      <c r="E16" s="48"/>
      <c r="F16" s="48"/>
      <c r="G16" s="48"/>
    </row>
    <row r="17" spans="1:7" ht="15.75">
      <c r="B17" s="48"/>
      <c r="C17" s="48" t="s">
        <v>495</v>
      </c>
      <c r="D17" s="41"/>
      <c r="E17" s="41"/>
      <c r="F17" s="41"/>
      <c r="G17" s="85"/>
    </row>
    <row r="18" spans="1:7">
      <c r="A18" s="53">
        <v>1</v>
      </c>
      <c r="B18" s="846" t="s">
        <v>114</v>
      </c>
      <c r="C18" s="847" t="s">
        <v>114</v>
      </c>
      <c r="D18" s="848">
        <v>0</v>
      </c>
      <c r="E18" s="62"/>
      <c r="F18" s="62"/>
      <c r="G18" s="875"/>
    </row>
    <row r="19" spans="1:7">
      <c r="A19" s="53">
        <v>2</v>
      </c>
      <c r="B19" s="846"/>
      <c r="C19" s="847"/>
      <c r="D19" s="848"/>
      <c r="E19" s="62"/>
      <c r="F19" s="62"/>
      <c r="G19" s="40"/>
    </row>
    <row r="20" spans="1:7">
      <c r="A20" s="53">
        <v>3</v>
      </c>
      <c r="B20" s="846"/>
      <c r="C20" s="847"/>
      <c r="D20" s="848"/>
      <c r="E20" s="62"/>
      <c r="F20" s="62"/>
      <c r="G20" s="40"/>
    </row>
    <row r="21" spans="1:7" ht="15.75">
      <c r="A21" s="53">
        <v>4</v>
      </c>
      <c r="B21" s="48"/>
      <c r="C21" s="212" t="s">
        <v>118</v>
      </c>
      <c r="D21" s="284">
        <f>SUM(D18:D19)</f>
        <v>0</v>
      </c>
      <c r="E21" s="62"/>
      <c r="F21" s="62"/>
      <c r="G21" s="48"/>
    </row>
    <row r="22" spans="1:7" ht="15.75">
      <c r="B22" s="48"/>
      <c r="C22" s="212"/>
      <c r="D22" s="227"/>
      <c r="E22" s="41"/>
      <c r="F22" s="41"/>
      <c r="G22" s="48"/>
    </row>
    <row r="23" spans="1:7" ht="15.75">
      <c r="A23" s="8"/>
      <c r="B23" s="48"/>
      <c r="C23" s="48" t="s">
        <v>49</v>
      </c>
      <c r="D23" s="278"/>
      <c r="E23" s="41"/>
      <c r="F23" s="41"/>
      <c r="G23" s="48"/>
    </row>
    <row r="24" spans="1:7" ht="15.75">
      <c r="A24" s="47">
        <f>+A21+1</f>
        <v>5</v>
      </c>
      <c r="B24" s="281"/>
      <c r="C24" s="279"/>
      <c r="D24" s="1113"/>
      <c r="E24" s="41"/>
      <c r="F24" s="41"/>
      <c r="G24" s="48"/>
    </row>
    <row r="25" spans="1:7" ht="15.75">
      <c r="A25" s="280">
        <f>+A24+1</f>
        <v>6</v>
      </c>
      <c r="B25" s="281" t="s">
        <v>50</v>
      </c>
      <c r="C25" s="281" t="s">
        <v>51</v>
      </c>
      <c r="D25" s="849">
        <v>0</v>
      </c>
      <c r="E25" s="41"/>
      <c r="F25" s="41"/>
      <c r="G25" s="48"/>
    </row>
    <row r="26" spans="1:7" ht="15.75">
      <c r="A26" s="47">
        <f>+A25+1</f>
        <v>7</v>
      </c>
      <c r="B26" s="279" t="s">
        <v>52</v>
      </c>
      <c r="C26" s="279" t="s">
        <v>53</v>
      </c>
      <c r="D26" s="849">
        <v>23128.81</v>
      </c>
      <c r="E26" s="41"/>
      <c r="F26" s="41"/>
      <c r="G26" s="48"/>
    </row>
    <row r="27" spans="1:7" ht="15.75">
      <c r="A27" s="280">
        <f t="shared" ref="A27:A32" si="0">+A26+1</f>
        <v>8</v>
      </c>
      <c r="B27" s="281" t="s">
        <v>54</v>
      </c>
      <c r="C27" s="281" t="s">
        <v>55</v>
      </c>
      <c r="D27" s="850">
        <v>0</v>
      </c>
      <c r="E27" s="41"/>
      <c r="F27" s="41"/>
      <c r="G27" s="48"/>
    </row>
    <row r="28" spans="1:7" ht="15.75">
      <c r="A28" s="47">
        <f t="shared" si="0"/>
        <v>9</v>
      </c>
      <c r="B28" s="279" t="s">
        <v>56</v>
      </c>
      <c r="C28" s="279" t="s">
        <v>57</v>
      </c>
      <c r="D28" s="849">
        <v>1055950.6090000002</v>
      </c>
      <c r="E28" s="41"/>
      <c r="F28" s="41"/>
      <c r="G28" s="48"/>
    </row>
    <row r="29" spans="1:7" ht="15.75">
      <c r="A29" s="280">
        <f t="shared" si="0"/>
        <v>10</v>
      </c>
      <c r="B29" s="281" t="s">
        <v>58</v>
      </c>
      <c r="C29" s="281" t="s">
        <v>59</v>
      </c>
      <c r="D29" s="849">
        <v>15215.87</v>
      </c>
      <c r="E29" s="41"/>
      <c r="F29" s="41"/>
      <c r="G29" s="48"/>
    </row>
    <row r="30" spans="1:7" ht="15.75">
      <c r="A30" s="47">
        <f t="shared" si="0"/>
        <v>11</v>
      </c>
      <c r="B30" s="279" t="s">
        <v>60</v>
      </c>
      <c r="C30" s="279" t="s">
        <v>61</v>
      </c>
      <c r="D30" s="849">
        <v>0</v>
      </c>
      <c r="E30" s="41"/>
      <c r="F30" s="41"/>
      <c r="G30" s="48"/>
    </row>
    <row r="31" spans="1:7" ht="15.75">
      <c r="A31" s="280">
        <f t="shared" si="0"/>
        <v>12</v>
      </c>
      <c r="B31" s="281" t="s">
        <v>62</v>
      </c>
      <c r="C31" s="281" t="s">
        <v>63</v>
      </c>
      <c r="D31" s="849">
        <v>0</v>
      </c>
      <c r="E31" s="41"/>
      <c r="F31" s="41"/>
      <c r="G31" s="48"/>
    </row>
    <row r="32" spans="1:7" ht="15.75">
      <c r="A32" s="47">
        <f t="shared" si="0"/>
        <v>13</v>
      </c>
      <c r="B32" s="279" t="s">
        <v>64</v>
      </c>
      <c r="C32" s="279" t="s">
        <v>65</v>
      </c>
      <c r="D32" s="849">
        <v>300350.88</v>
      </c>
      <c r="E32" s="41"/>
      <c r="F32" s="41"/>
      <c r="G32" s="48"/>
    </row>
    <row r="33" spans="1:19" ht="15.75">
      <c r="A33" s="53">
        <f>+A32+1</f>
        <v>14</v>
      </c>
      <c r="B33" s="254"/>
      <c r="C33" s="34" t="s">
        <v>66</v>
      </c>
      <c r="D33" s="255">
        <f>SUM(D24:D32)</f>
        <v>1394646.1690000002</v>
      </c>
      <c r="E33" s="41"/>
      <c r="F33" s="41"/>
      <c r="G33" s="48"/>
    </row>
    <row r="34" spans="1:19" ht="15.75">
      <c r="A34" s="208"/>
      <c r="B34" s="61"/>
      <c r="C34" s="48"/>
      <c r="D34" s="48"/>
      <c r="E34" s="48"/>
      <c r="F34" s="48"/>
      <c r="G34" s="48"/>
    </row>
    <row r="35" spans="1:19" ht="15.75">
      <c r="A35" s="208"/>
      <c r="B35" s="47"/>
      <c r="C35" s="95" t="s">
        <v>212</v>
      </c>
      <c r="D35" s="43"/>
      <c r="E35" s="43"/>
      <c r="F35" s="43"/>
      <c r="G35" s="43"/>
    </row>
    <row r="36" spans="1:19">
      <c r="A36" s="53">
        <f>+A33+1</f>
        <v>15</v>
      </c>
      <c r="B36" s="1224" t="s">
        <v>871</v>
      </c>
      <c r="C36" s="847" t="s">
        <v>872</v>
      </c>
      <c r="D36" s="1225">
        <v>602.48</v>
      </c>
      <c r="E36" s="41">
        <f>D36-F36</f>
        <v>585.92000000000007</v>
      </c>
      <c r="F36" s="41">
        <v>16.559999999999999</v>
      </c>
      <c r="G36" s="40" t="s">
        <v>114</v>
      </c>
    </row>
    <row r="37" spans="1:19">
      <c r="A37" s="53">
        <f>+A36+1</f>
        <v>16</v>
      </c>
      <c r="B37" s="846" t="s">
        <v>911</v>
      </c>
      <c r="C37" s="847" t="s">
        <v>914</v>
      </c>
      <c r="D37" s="1225">
        <v>0.4</v>
      </c>
      <c r="E37" s="41">
        <f>D37</f>
        <v>0.4</v>
      </c>
      <c r="F37" s="41">
        <v>0.14000000000000001</v>
      </c>
      <c r="G37" s="40" t="s">
        <v>114</v>
      </c>
    </row>
    <row r="38" spans="1:19">
      <c r="A38" s="53">
        <f>+A37+1</f>
        <v>17</v>
      </c>
      <c r="B38" s="846" t="s">
        <v>912</v>
      </c>
      <c r="C38" s="847" t="s">
        <v>915</v>
      </c>
      <c r="D38" s="1225">
        <v>38497.39</v>
      </c>
      <c r="E38" s="41">
        <f>D38</f>
        <v>38497.39</v>
      </c>
      <c r="F38" s="41">
        <v>2337.86</v>
      </c>
      <c r="G38" s="40" t="s">
        <v>114</v>
      </c>
    </row>
    <row r="39" spans="1:19">
      <c r="A39" s="53">
        <f t="shared" ref="A39:A40" si="1">+A38+1</f>
        <v>18</v>
      </c>
      <c r="B39" s="1299" t="s">
        <v>1112</v>
      </c>
      <c r="C39" s="847" t="s">
        <v>1026</v>
      </c>
      <c r="D39" s="1225">
        <v>6909</v>
      </c>
      <c r="E39" s="41">
        <f>D39</f>
        <v>6909</v>
      </c>
      <c r="F39" s="41">
        <v>0</v>
      </c>
      <c r="G39" s="40" t="s">
        <v>114</v>
      </c>
    </row>
    <row r="40" spans="1:19">
      <c r="A40" s="53">
        <f t="shared" si="1"/>
        <v>19</v>
      </c>
      <c r="B40" s="846" t="s">
        <v>913</v>
      </c>
      <c r="C40" s="847" t="s">
        <v>916</v>
      </c>
      <c r="D40" s="1225">
        <v>2277.16</v>
      </c>
      <c r="E40" s="41">
        <f>D40-F40</f>
        <v>355.76999999999975</v>
      </c>
      <c r="F40" s="41">
        <v>1921.39</v>
      </c>
      <c r="G40" s="40"/>
    </row>
    <row r="41" spans="1:19">
      <c r="A41" s="53">
        <f>+A39+1</f>
        <v>19</v>
      </c>
      <c r="B41" s="846">
        <v>9280006</v>
      </c>
      <c r="C41" s="847" t="s">
        <v>1290</v>
      </c>
      <c r="D41" s="1225">
        <v>991448.42</v>
      </c>
      <c r="E41" s="41">
        <f>D41-F41</f>
        <v>986408.38</v>
      </c>
      <c r="F41" s="41">
        <v>5040.04</v>
      </c>
      <c r="G41" s="43"/>
    </row>
    <row r="42" spans="1:19" ht="15.75" customHeight="1">
      <c r="A42" s="53">
        <f>+A41+1</f>
        <v>20</v>
      </c>
      <c r="B42" s="45"/>
      <c r="C42" s="1114" t="s">
        <v>621</v>
      </c>
      <c r="D42" s="56">
        <f>SUM(D36:D41)</f>
        <v>1039734.8500000001</v>
      </c>
      <c r="E42" s="56">
        <f t="shared" ref="E42:F42" si="2">SUM(E36:E41)</f>
        <v>1032756.86</v>
      </c>
      <c r="F42" s="56">
        <f t="shared" si="2"/>
        <v>9315.99</v>
      </c>
      <c r="G42" s="27"/>
    </row>
    <row r="43" spans="1:19" ht="12.75" customHeight="1">
      <c r="B43" s="45"/>
      <c r="C43" s="46"/>
      <c r="D43" s="60"/>
      <c r="E43" s="30"/>
      <c r="F43" s="30"/>
      <c r="G43" s="43"/>
    </row>
    <row r="44" spans="1:19" ht="15.75">
      <c r="B44" s="47"/>
      <c r="C44" s="95" t="s">
        <v>211</v>
      </c>
      <c r="D44" s="30"/>
      <c r="E44" s="30"/>
      <c r="F44" s="30"/>
      <c r="G44" s="43"/>
    </row>
    <row r="45" spans="1:19">
      <c r="A45" s="53">
        <f>+A42+1</f>
        <v>21</v>
      </c>
      <c r="B45" s="1224">
        <v>9301000</v>
      </c>
      <c r="C45" s="847" t="s">
        <v>1291</v>
      </c>
      <c r="D45" s="1225">
        <v>570.30000000000007</v>
      </c>
      <c r="E45" s="41">
        <f t="shared" ref="E45" si="3">D45-F45</f>
        <v>570.30000000000007</v>
      </c>
      <c r="F45" s="41">
        <v>0</v>
      </c>
      <c r="G45"/>
      <c r="M45" s="26"/>
      <c r="N45" s="58"/>
      <c r="O45" s="59"/>
      <c r="P45" s="59"/>
      <c r="Q45" s="59"/>
      <c r="R45" s="59"/>
      <c r="S45" s="28"/>
    </row>
    <row r="46" spans="1:19">
      <c r="A46" s="53">
        <f>+A45+1</f>
        <v>22</v>
      </c>
      <c r="B46" s="1224" t="s">
        <v>917</v>
      </c>
      <c r="C46" s="847" t="s">
        <v>921</v>
      </c>
      <c r="D46" s="1225">
        <v>25.8</v>
      </c>
      <c r="E46" s="41">
        <f t="shared" ref="E46:E50" si="4">D46-F46</f>
        <v>18.97</v>
      </c>
      <c r="F46" s="41">
        <v>6.83</v>
      </c>
      <c r="G46"/>
      <c r="M46" s="26"/>
      <c r="N46" s="58"/>
      <c r="O46" s="59"/>
      <c r="P46" s="59"/>
      <c r="Q46" s="59"/>
      <c r="R46" s="59"/>
      <c r="S46" s="28"/>
    </row>
    <row r="47" spans="1:19">
      <c r="A47" s="53">
        <f t="shared" ref="A47:A60" si="5">+A46+1</f>
        <v>23</v>
      </c>
      <c r="B47" s="846" t="s">
        <v>918</v>
      </c>
      <c r="C47" s="847" t="s">
        <v>922</v>
      </c>
      <c r="D47" s="1225">
        <v>129.99</v>
      </c>
      <c r="E47" s="41">
        <f t="shared" si="4"/>
        <v>109.88000000000001</v>
      </c>
      <c r="F47" s="41">
        <v>20.11</v>
      </c>
      <c r="G47"/>
      <c r="M47" s="26"/>
      <c r="N47" s="58"/>
      <c r="O47" s="59"/>
      <c r="P47" s="59"/>
      <c r="Q47" s="59"/>
      <c r="R47" s="59"/>
      <c r="S47" s="28"/>
    </row>
    <row r="48" spans="1:19">
      <c r="A48" s="53">
        <f t="shared" si="5"/>
        <v>24</v>
      </c>
      <c r="B48" s="846" t="s">
        <v>919</v>
      </c>
      <c r="C48" s="847" t="s">
        <v>923</v>
      </c>
      <c r="D48" s="1225">
        <v>2106.39</v>
      </c>
      <c r="E48" s="41">
        <f t="shared" si="4"/>
        <v>2106.2399999999998</v>
      </c>
      <c r="F48" s="41">
        <v>0.15</v>
      </c>
      <c r="G48"/>
      <c r="M48" s="26"/>
      <c r="N48" s="58"/>
      <c r="O48" s="59"/>
      <c r="P48" s="59"/>
      <c r="Q48" s="59"/>
      <c r="R48" s="59"/>
      <c r="S48" s="28"/>
    </row>
    <row r="49" spans="1:19">
      <c r="A49" s="53">
        <f>+A48+1</f>
        <v>25</v>
      </c>
      <c r="B49" s="846" t="s">
        <v>1122</v>
      </c>
      <c r="C49" s="847" t="s">
        <v>1121</v>
      </c>
      <c r="D49" s="1225">
        <v>32.630000000000003</v>
      </c>
      <c r="E49" s="41">
        <f t="shared" si="4"/>
        <v>23.730000000000004</v>
      </c>
      <c r="F49" s="41">
        <v>8.9</v>
      </c>
      <c r="G49"/>
      <c r="M49" s="26"/>
      <c r="N49" s="58"/>
      <c r="O49" s="59"/>
      <c r="P49" s="59"/>
      <c r="Q49" s="59"/>
      <c r="R49" s="59"/>
      <c r="S49" s="28"/>
    </row>
    <row r="50" spans="1:19">
      <c r="A50" s="53">
        <f t="shared" si="5"/>
        <v>26</v>
      </c>
      <c r="B50" s="846" t="s">
        <v>920</v>
      </c>
      <c r="C50" s="847" t="s">
        <v>924</v>
      </c>
      <c r="D50" s="1225">
        <v>97.210000000000008</v>
      </c>
      <c r="E50" s="41">
        <f t="shared" si="4"/>
        <v>85.88000000000001</v>
      </c>
      <c r="F50" s="41">
        <v>11.33</v>
      </c>
      <c r="G50"/>
      <c r="M50" s="26"/>
      <c r="N50" s="58"/>
      <c r="O50" s="59"/>
      <c r="P50" s="59"/>
      <c r="Q50" s="59"/>
      <c r="R50" s="59"/>
      <c r="S50" s="28"/>
    </row>
    <row r="51" spans="1:19">
      <c r="A51" s="53">
        <f t="shared" si="5"/>
        <v>27</v>
      </c>
      <c r="B51" s="846"/>
      <c r="C51" s="847"/>
      <c r="D51" s="848"/>
      <c r="E51" s="41"/>
      <c r="F51" s="41"/>
      <c r="G51"/>
      <c r="M51" s="26"/>
      <c r="N51" s="58"/>
      <c r="O51" s="59"/>
      <c r="P51" s="59"/>
      <c r="Q51" s="59"/>
      <c r="R51" s="59"/>
      <c r="S51" s="28"/>
    </row>
    <row r="52" spans="1:19" hidden="1">
      <c r="A52" s="53">
        <f t="shared" si="5"/>
        <v>28</v>
      </c>
      <c r="B52" s="846"/>
      <c r="C52" s="847"/>
      <c r="D52" s="848"/>
      <c r="E52" s="41"/>
      <c r="F52" s="41"/>
      <c r="G52"/>
      <c r="M52" s="26"/>
      <c r="N52" s="58"/>
      <c r="O52" s="59"/>
      <c r="P52" s="59"/>
      <c r="Q52" s="59"/>
      <c r="R52" s="59"/>
      <c r="S52" s="28"/>
    </row>
    <row r="53" spans="1:19" hidden="1">
      <c r="A53" s="53">
        <f>A52+1</f>
        <v>29</v>
      </c>
      <c r="B53" s="846"/>
      <c r="C53" s="847"/>
      <c r="D53" s="848"/>
      <c r="E53" s="41"/>
      <c r="F53" s="41"/>
      <c r="G53"/>
      <c r="M53" s="26"/>
      <c r="N53" s="58"/>
      <c r="O53" s="59"/>
      <c r="P53" s="59"/>
      <c r="Q53" s="59"/>
      <c r="R53" s="59"/>
      <c r="S53" s="28"/>
    </row>
    <row r="54" spans="1:19" hidden="1">
      <c r="A54" s="53">
        <f>A53+1</f>
        <v>30</v>
      </c>
      <c r="B54" s="846"/>
      <c r="C54" s="847"/>
      <c r="D54" s="848"/>
      <c r="E54" s="41"/>
      <c r="F54" s="41"/>
      <c r="G54"/>
      <c r="M54" s="26"/>
      <c r="N54" s="58"/>
      <c r="O54" s="59"/>
      <c r="P54" s="59"/>
      <c r="Q54" s="59"/>
      <c r="R54" s="59"/>
      <c r="S54" s="28"/>
    </row>
    <row r="55" spans="1:19" hidden="1">
      <c r="A55" s="53">
        <f>A54+1</f>
        <v>31</v>
      </c>
      <c r="B55" s="846"/>
      <c r="C55" s="847"/>
      <c r="D55" s="848"/>
      <c r="E55" s="41"/>
      <c r="F55" s="41"/>
      <c r="G55"/>
      <c r="M55" s="26"/>
      <c r="N55" s="58"/>
      <c r="O55" s="59"/>
      <c r="P55" s="59"/>
      <c r="Q55" s="59"/>
      <c r="R55" s="59"/>
      <c r="S55" s="28"/>
    </row>
    <row r="56" spans="1:19" hidden="1">
      <c r="A56" s="53">
        <f>A55+1</f>
        <v>32</v>
      </c>
      <c r="B56" s="846"/>
      <c r="C56" s="847"/>
      <c r="D56" s="848"/>
      <c r="E56" s="41"/>
      <c r="F56" s="44"/>
      <c r="G56"/>
      <c r="M56" s="26"/>
      <c r="N56" s="58"/>
      <c r="O56" s="59"/>
      <c r="P56" s="59"/>
      <c r="Q56" s="59"/>
      <c r="R56" s="59"/>
      <c r="S56" s="28"/>
    </row>
    <row r="57" spans="1:19" hidden="1">
      <c r="A57" s="53">
        <f t="shared" si="5"/>
        <v>33</v>
      </c>
      <c r="B57" s="846"/>
      <c r="C57" s="847"/>
      <c r="D57" s="848"/>
      <c r="E57" s="41"/>
      <c r="F57" s="44"/>
      <c r="G57"/>
    </row>
    <row r="58" spans="1:19" hidden="1">
      <c r="A58" s="53">
        <f t="shared" si="5"/>
        <v>34</v>
      </c>
      <c r="B58" s="846"/>
      <c r="C58" s="847"/>
      <c r="D58" s="848"/>
      <c r="E58" s="41"/>
      <c r="F58" s="44"/>
      <c r="G58" s="43"/>
    </row>
    <row r="59" spans="1:19" hidden="1">
      <c r="A59" s="53">
        <f t="shared" si="5"/>
        <v>35</v>
      </c>
      <c r="B59" s="846"/>
      <c r="C59" s="847"/>
      <c r="D59" s="848"/>
      <c r="E59" s="41"/>
      <c r="F59" s="44"/>
      <c r="G59" s="43"/>
    </row>
    <row r="60" spans="1:19" hidden="1">
      <c r="A60" s="53">
        <f t="shared" si="5"/>
        <v>36</v>
      </c>
      <c r="B60" s="846"/>
      <c r="C60" s="847"/>
      <c r="D60" s="848"/>
      <c r="E60" s="41"/>
      <c r="F60" s="44"/>
      <c r="G60" s="43"/>
    </row>
    <row r="61" spans="1:19">
      <c r="B61" s="42"/>
      <c r="C61" s="43"/>
      <c r="D61" s="49"/>
      <c r="E61" s="50"/>
      <c r="F61" s="49"/>
      <c r="G61" s="43"/>
    </row>
    <row r="62" spans="1:19" ht="15.75">
      <c r="A62" s="53">
        <f>A60+1</f>
        <v>37</v>
      </c>
      <c r="B62" s="45"/>
      <c r="C62" s="1114" t="s">
        <v>622</v>
      </c>
      <c r="D62" s="51">
        <f>SUM(D45:D61)</f>
        <v>2962.32</v>
      </c>
      <c r="E62" s="51">
        <f>SUM(E45:E61)</f>
        <v>2915</v>
      </c>
      <c r="F62" s="51">
        <f>SUM(F45:F57)</f>
        <v>47.319999999999993</v>
      </c>
      <c r="G62" s="27"/>
    </row>
    <row r="63" spans="1:19" ht="12.75" customHeight="1">
      <c r="B63" s="36"/>
      <c r="C63" s="36"/>
      <c r="D63" s="36"/>
      <c r="E63" s="36"/>
      <c r="F63" s="36"/>
      <c r="G63" s="36"/>
    </row>
    <row r="64" spans="1:19" ht="15.75">
      <c r="B64" s="34"/>
      <c r="C64" s="95" t="s">
        <v>210</v>
      </c>
      <c r="D64" s="52"/>
      <c r="E64" s="52"/>
      <c r="F64" s="52"/>
      <c r="G64" s="34"/>
    </row>
    <row r="65" spans="1:11">
      <c r="A65" s="53">
        <f>+A62+1</f>
        <v>38</v>
      </c>
      <c r="B65" s="1224" t="s">
        <v>873</v>
      </c>
      <c r="C65" s="847" t="s">
        <v>874</v>
      </c>
      <c r="D65" s="1225">
        <v>152303.01</v>
      </c>
      <c r="E65" s="41">
        <f t="shared" ref="E65:E67" si="6">D65-F65</f>
        <v>128316.37000000001</v>
      </c>
      <c r="F65" s="44">
        <v>23986.639999999999</v>
      </c>
      <c r="G65" s="26"/>
      <c r="H65" s="26"/>
      <c r="J65" s="28"/>
      <c r="K65" s="28"/>
    </row>
    <row r="66" spans="1:11">
      <c r="A66" s="53">
        <f>+A65+1</f>
        <v>39</v>
      </c>
      <c r="B66" s="1224" t="s">
        <v>875</v>
      </c>
      <c r="C66" s="847" t="s">
        <v>876</v>
      </c>
      <c r="D66" s="1225">
        <v>34067.86</v>
      </c>
      <c r="E66" s="41">
        <f t="shared" si="6"/>
        <v>32066.144</v>
      </c>
      <c r="F66" s="44">
        <v>2001.7160000000001</v>
      </c>
      <c r="G66" s="26"/>
      <c r="H66" s="26"/>
      <c r="J66" s="28"/>
      <c r="K66" s="28"/>
    </row>
    <row r="67" spans="1:11">
      <c r="A67" s="53">
        <f>+A66+1</f>
        <v>40</v>
      </c>
      <c r="B67" s="1224" t="s">
        <v>877</v>
      </c>
      <c r="C67" s="847" t="s">
        <v>878</v>
      </c>
      <c r="D67" s="1225">
        <v>120.93</v>
      </c>
      <c r="E67" s="41">
        <f t="shared" si="6"/>
        <v>108.81</v>
      </c>
      <c r="F67" s="44">
        <v>12.120000000000001</v>
      </c>
      <c r="G67" s="26"/>
      <c r="H67" s="26"/>
      <c r="J67" s="28"/>
      <c r="K67" s="28"/>
    </row>
    <row r="68" spans="1:11">
      <c r="A68" s="53">
        <f>A67+1</f>
        <v>41</v>
      </c>
      <c r="B68" s="1224" t="s">
        <v>879</v>
      </c>
      <c r="C68" s="847" t="s">
        <v>880</v>
      </c>
      <c r="D68" s="1225">
        <v>126957.90000000001</v>
      </c>
      <c r="E68" s="41">
        <f>D68-F68</f>
        <v>93184.75</v>
      </c>
      <c r="F68" s="44">
        <v>33773.15</v>
      </c>
      <c r="G68" s="26"/>
      <c r="H68" s="26"/>
      <c r="J68" s="28"/>
      <c r="K68" s="28"/>
    </row>
    <row r="69" spans="1:11">
      <c r="A69" s="53">
        <f>+A68+1</f>
        <v>42</v>
      </c>
      <c r="B69" s="1224" t="s">
        <v>1123</v>
      </c>
      <c r="C69" s="847" t="s">
        <v>1162</v>
      </c>
      <c r="D69" s="1226">
        <v>0</v>
      </c>
      <c r="E69" s="1393">
        <f t="shared" ref="E69" si="7">D69-F69</f>
        <v>0</v>
      </c>
      <c r="F69" s="287">
        <v>0</v>
      </c>
      <c r="G69" s="36"/>
    </row>
    <row r="70" spans="1:11">
      <c r="B70" s="285"/>
      <c r="C70" s="288"/>
      <c r="D70" s="289"/>
      <c r="E70" s="286"/>
      <c r="F70" s="286"/>
      <c r="G70" s="36"/>
    </row>
    <row r="71" spans="1:11" ht="15.75">
      <c r="A71" s="53">
        <f>+A69+1</f>
        <v>43</v>
      </c>
      <c r="B71" s="36"/>
      <c r="C71" s="1114" t="s">
        <v>623</v>
      </c>
      <c r="D71" s="287">
        <f>SUM(D65:D69)</f>
        <v>313449.7</v>
      </c>
      <c r="E71" s="287">
        <f>SUM(E65:E69)</f>
        <v>253676.07400000002</v>
      </c>
      <c r="F71" s="287">
        <f>SUM(F65:F69)</f>
        <v>59773.626000000004</v>
      </c>
      <c r="G71" s="27"/>
    </row>
    <row r="72" spans="1:11">
      <c r="B72" s="84"/>
      <c r="C72" s="20"/>
      <c r="D72" s="283"/>
      <c r="E72" s="20"/>
      <c r="F72" s="20"/>
      <c r="G72" s="20"/>
    </row>
  </sheetData>
  <mergeCells count="6">
    <mergeCell ref="A3:G3"/>
    <mergeCell ref="A8:G8"/>
    <mergeCell ref="A7:F7"/>
    <mergeCell ref="A4:G4"/>
    <mergeCell ref="A5:G5"/>
    <mergeCell ref="A6:G6"/>
  </mergeCells>
  <phoneticPr fontId="0" type="noConversion"/>
  <pageMargins left="0.44" right="0.52" top="1" bottom="0.67" header="0.75" footer="0.4"/>
  <pageSetup scale="52" orientation="portrait" r:id="rId1"/>
  <headerFooter alignWithMargins="0">
    <oddHeader>&amp;R&amp;"Arial,Bold"Formula Rate 
&amp;A
Page &amp;P of &amp;N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pageSetUpPr fitToPage="1"/>
  </sheetPr>
  <dimension ref="A1:O37"/>
  <sheetViews>
    <sheetView view="pageBreakPreview" topLeftCell="A4" zoomScaleNormal="100" zoomScaleSheetLayoutView="100" workbookViewId="0">
      <selection activeCell="E22" sqref="E22"/>
    </sheetView>
  </sheetViews>
  <sheetFormatPr defaultRowHeight="12.75"/>
  <cols>
    <col min="2" max="2" width="32.5703125" customWidth="1"/>
    <col min="5" max="5" width="15" customWidth="1"/>
    <col min="6" max="6" width="12.85546875" bestFit="1" customWidth="1"/>
    <col min="7" max="7" width="10.85546875" customWidth="1"/>
    <col min="8" max="8" width="2.85546875" customWidth="1"/>
    <col min="9" max="9" width="16.5703125" bestFit="1" customWidth="1"/>
    <col min="10" max="10" width="2.140625" customWidth="1"/>
    <col min="11" max="11" width="14.5703125" bestFit="1" customWidth="1"/>
    <col min="12" max="12" width="4.85546875" customWidth="1"/>
    <col min="13" max="13" width="16" bestFit="1" customWidth="1"/>
    <col min="14" max="14" width="2.140625" customWidth="1"/>
    <col min="15" max="15" width="14.42578125" bestFit="1" customWidth="1"/>
  </cols>
  <sheetData>
    <row r="1" spans="1:15" ht="15.75">
      <c r="A1" s="881" t="s">
        <v>114</v>
      </c>
    </row>
    <row r="2" spans="1:15" ht="15.75">
      <c r="A2" s="881" t="s">
        <v>114</v>
      </c>
    </row>
    <row r="3" spans="1:15" ht="15">
      <c r="A3" s="1553" t="s">
        <v>387</v>
      </c>
      <c r="B3" s="1553"/>
      <c r="C3" s="1553"/>
      <c r="D3" s="1553"/>
      <c r="E3" s="1553"/>
      <c r="F3" s="1553"/>
      <c r="G3" s="1553"/>
      <c r="H3" s="1553"/>
    </row>
    <row r="4" spans="1:15" ht="15">
      <c r="A4" s="1554" t="str">
        <f>"Cost of Service Formula Rate Using Actual/Projected FF1 Balances"</f>
        <v>Cost of Service Formula Rate Using Actual/Projected FF1 Balances</v>
      </c>
      <c r="B4" s="1554"/>
      <c r="C4" s="1554"/>
      <c r="D4" s="1554"/>
      <c r="E4" s="1554"/>
      <c r="F4" s="1554"/>
      <c r="G4" s="1554"/>
      <c r="H4" s="1554"/>
    </row>
    <row r="5" spans="1:15" ht="15">
      <c r="A5" s="1554" t="s">
        <v>526</v>
      </c>
      <c r="B5" s="1554"/>
      <c r="C5" s="1554"/>
      <c r="D5" s="1554"/>
      <c r="E5" s="1554"/>
      <c r="F5" s="1554"/>
      <c r="G5" s="1554"/>
      <c r="H5" s="1554"/>
    </row>
    <row r="6" spans="1:15" ht="15">
      <c r="A6" s="1565" t="str">
        <f>TCOS!F9</f>
        <v>WHEELING POWER COMPANY</v>
      </c>
      <c r="B6" s="1565"/>
      <c r="C6" s="1565"/>
      <c r="D6" s="1565"/>
      <c r="E6" s="1565"/>
      <c r="F6" s="1565"/>
      <c r="G6" s="1565"/>
    </row>
    <row r="7" spans="1:15" ht="12.75" customHeight="1">
      <c r="A7" s="18"/>
      <c r="B7" s="22"/>
      <c r="C7" s="22"/>
      <c r="D7" s="22"/>
      <c r="E7" s="22"/>
      <c r="F7" s="22"/>
      <c r="G7" s="22"/>
      <c r="H7" s="22"/>
      <c r="I7" s="22"/>
      <c r="J7" s="22"/>
      <c r="O7" s="14"/>
    </row>
    <row r="8" spans="1:15" ht="12.75" customHeight="1">
      <c r="A8" s="18"/>
      <c r="B8" s="16" t="s">
        <v>881</v>
      </c>
      <c r="C8" s="35"/>
      <c r="D8" s="38"/>
      <c r="E8" s="1519">
        <v>6.5000000000000002E-2</v>
      </c>
      <c r="F8" s="1227"/>
      <c r="G8" s="22"/>
      <c r="H8" s="22"/>
      <c r="I8" s="22"/>
      <c r="J8" s="22"/>
      <c r="O8" s="14"/>
    </row>
    <row r="9" spans="1:15" ht="14.45" customHeight="1">
      <c r="A9" s="18"/>
      <c r="B9" s="16" t="s">
        <v>882</v>
      </c>
      <c r="C9" s="35"/>
      <c r="D9" s="35"/>
      <c r="E9" s="1520">
        <v>0.97170408291823096</v>
      </c>
      <c r="F9" s="1227"/>
      <c r="G9" s="22"/>
      <c r="H9" s="22"/>
      <c r="I9" s="22"/>
      <c r="J9" s="22"/>
      <c r="O9" s="14"/>
    </row>
    <row r="10" spans="1:15" ht="12.75" customHeight="1">
      <c r="A10" s="18"/>
      <c r="B10" s="16" t="s">
        <v>447</v>
      </c>
      <c r="C10" s="35"/>
      <c r="D10" s="35"/>
      <c r="E10" s="1228"/>
      <c r="F10" s="39">
        <f>ROUND(E8*E9,6)</f>
        <v>6.3160999999999995E-2</v>
      </c>
      <c r="G10" s="22"/>
      <c r="H10" s="22"/>
      <c r="I10" s="22"/>
      <c r="J10" s="22"/>
      <c r="O10" s="14"/>
    </row>
    <row r="11" spans="1:15" ht="12.75" customHeight="1">
      <c r="A11" s="18"/>
      <c r="B11" s="16"/>
      <c r="C11" s="35"/>
      <c r="D11" s="35"/>
      <c r="E11" s="1228"/>
      <c r="F11" s="39"/>
      <c r="G11" s="22"/>
      <c r="H11" s="22"/>
      <c r="I11" s="22"/>
      <c r="J11" s="22"/>
      <c r="O11" s="14"/>
    </row>
    <row r="12" spans="1:15" ht="12.75" customHeight="1">
      <c r="A12" s="18"/>
      <c r="B12" s="16" t="s">
        <v>883</v>
      </c>
      <c r="C12" s="35"/>
      <c r="D12" s="35"/>
      <c r="E12" s="1519">
        <v>9.5000000000000001E-2</v>
      </c>
      <c r="F12" s="1227"/>
      <c r="G12" s="22"/>
      <c r="H12" s="22"/>
      <c r="I12" s="22"/>
      <c r="J12" s="22"/>
      <c r="O12" s="14"/>
    </row>
    <row r="13" spans="1:15" ht="12.75" customHeight="1">
      <c r="A13" s="18"/>
      <c r="B13" s="16" t="s">
        <v>882</v>
      </c>
      <c r="C13" s="35"/>
      <c r="D13" s="35"/>
      <c r="E13" s="1520">
        <v>4.3443099999999997E-3</v>
      </c>
      <c r="F13" s="1227"/>
      <c r="G13" s="22"/>
      <c r="H13" s="22"/>
      <c r="I13" s="22"/>
      <c r="J13" s="22"/>
      <c r="O13" s="14"/>
    </row>
    <row r="14" spans="1:15" ht="12.75" customHeight="1">
      <c r="A14" s="18"/>
      <c r="B14" s="16" t="s">
        <v>447</v>
      </c>
      <c r="C14" s="35"/>
      <c r="D14" s="35"/>
      <c r="E14" s="1228"/>
      <c r="F14" s="39">
        <f>ROUND(E12*E13,6)</f>
        <v>4.1300000000000001E-4</v>
      </c>
      <c r="G14" s="22"/>
      <c r="H14" s="22"/>
      <c r="I14" s="22"/>
      <c r="J14" s="22"/>
      <c r="O14" s="14"/>
    </row>
    <row r="15" spans="1:15" ht="12.75" customHeight="1">
      <c r="A15" s="18"/>
      <c r="B15" s="16"/>
      <c r="C15" s="35"/>
      <c r="D15" s="35"/>
      <c r="E15" s="1228"/>
      <c r="F15" s="39"/>
      <c r="G15" s="22"/>
      <c r="H15" s="22"/>
      <c r="I15" s="22"/>
      <c r="J15" s="22"/>
      <c r="O15" s="14"/>
    </row>
    <row r="16" spans="1:15" ht="12.75" customHeight="1">
      <c r="A16" s="18"/>
      <c r="B16" s="16" t="s">
        <v>884</v>
      </c>
      <c r="C16" s="35"/>
      <c r="D16" s="38"/>
      <c r="E16" s="1519">
        <v>0.06</v>
      </c>
      <c r="F16" s="1227"/>
      <c r="G16" s="22"/>
      <c r="H16" s="22"/>
      <c r="I16" s="22"/>
      <c r="J16" s="22"/>
      <c r="O16" s="14"/>
    </row>
    <row r="17" spans="1:15" ht="12.75" customHeight="1">
      <c r="A17" s="18"/>
      <c r="B17" s="16" t="s">
        <v>882</v>
      </c>
      <c r="C17" s="35"/>
      <c r="D17" s="35"/>
      <c r="E17" s="1520">
        <v>2.0543999999999998E-4</v>
      </c>
      <c r="F17" s="1227"/>
      <c r="G17" s="22"/>
      <c r="H17" s="22"/>
      <c r="I17" s="22"/>
      <c r="J17" s="22"/>
      <c r="O17" s="14"/>
    </row>
    <row r="18" spans="1:15" ht="12.75" customHeight="1">
      <c r="A18" s="18"/>
      <c r="B18" s="16" t="s">
        <v>447</v>
      </c>
      <c r="C18" s="35"/>
      <c r="D18" s="35"/>
      <c r="E18" s="1228"/>
      <c r="F18" s="39">
        <f>ROUND(E16*E17,6)</f>
        <v>1.2E-5</v>
      </c>
      <c r="G18" s="22"/>
      <c r="H18" s="22"/>
      <c r="I18" s="22"/>
      <c r="J18" s="22"/>
      <c r="O18" s="14"/>
    </row>
    <row r="19" spans="1:15" ht="12.75" customHeight="1">
      <c r="A19" s="18"/>
      <c r="B19" s="16"/>
      <c r="C19" s="35"/>
      <c r="D19" s="35"/>
      <c r="E19" s="1228"/>
      <c r="F19" s="39"/>
      <c r="G19" s="22"/>
      <c r="H19" s="22"/>
      <c r="I19" s="22"/>
      <c r="J19" s="22"/>
      <c r="O19" s="14"/>
    </row>
    <row r="20" spans="1:15" ht="12.75" customHeight="1">
      <c r="A20" s="18"/>
      <c r="B20" s="16" t="s">
        <v>885</v>
      </c>
      <c r="C20" s="35"/>
      <c r="D20" s="35"/>
      <c r="E20" s="1519">
        <v>0.05</v>
      </c>
      <c r="F20" s="39"/>
      <c r="G20" s="22"/>
      <c r="H20" s="22"/>
      <c r="I20" s="22"/>
      <c r="J20" s="22"/>
      <c r="O20" s="14"/>
    </row>
    <row r="21" spans="1:15" ht="12.75" customHeight="1">
      <c r="A21" s="18"/>
      <c r="B21" s="16" t="s">
        <v>882</v>
      </c>
      <c r="C21" s="35"/>
      <c r="D21" s="35"/>
      <c r="E21" s="1520">
        <v>1.09563E-3</v>
      </c>
      <c r="F21" s="39"/>
      <c r="G21" s="22"/>
      <c r="H21" s="22"/>
      <c r="I21" s="22"/>
      <c r="J21" s="22"/>
      <c r="O21" s="14"/>
    </row>
    <row r="22" spans="1:15" ht="12.75" customHeight="1">
      <c r="A22" s="18"/>
      <c r="B22" s="16" t="s">
        <v>447</v>
      </c>
      <c r="C22" s="35"/>
      <c r="D22" s="35"/>
      <c r="E22" s="1228"/>
      <c r="F22" s="39">
        <f>ROUND(+E20*E21,6)</f>
        <v>5.5000000000000002E-5</v>
      </c>
      <c r="G22" s="22"/>
      <c r="H22" s="22"/>
      <c r="I22" s="22"/>
      <c r="J22" s="22"/>
      <c r="O22" s="14"/>
    </row>
    <row r="23" spans="1:15" ht="12.75" customHeight="1">
      <c r="A23" s="18"/>
      <c r="B23" s="16"/>
      <c r="C23" s="35"/>
      <c r="D23" s="35"/>
      <c r="E23" s="1228"/>
      <c r="F23" s="39"/>
      <c r="G23" s="22"/>
      <c r="H23" s="22"/>
      <c r="I23" s="22"/>
      <c r="J23" s="22"/>
      <c r="O23" s="14"/>
    </row>
    <row r="24" spans="1:15" ht="12.75" customHeight="1">
      <c r="A24" s="18"/>
      <c r="B24" s="16" t="s">
        <v>886</v>
      </c>
      <c r="C24" s="35"/>
      <c r="D24" s="38"/>
      <c r="E24" s="1519">
        <v>0</v>
      </c>
      <c r="F24" s="1227"/>
      <c r="G24" s="22"/>
      <c r="H24" s="22"/>
      <c r="I24" s="22"/>
      <c r="J24" s="22"/>
      <c r="O24" s="14"/>
    </row>
    <row r="25" spans="1:15" ht="12.75" customHeight="1">
      <c r="A25" s="18"/>
      <c r="B25" s="16" t="s">
        <v>882</v>
      </c>
      <c r="C25" s="35"/>
      <c r="D25" s="35"/>
      <c r="E25" s="1520">
        <v>0</v>
      </c>
      <c r="F25" s="1227"/>
      <c r="G25" s="22"/>
      <c r="H25" s="22"/>
      <c r="I25" s="22"/>
      <c r="J25" s="22"/>
      <c r="O25" s="14"/>
    </row>
    <row r="26" spans="1:15" ht="12.75" customHeight="1">
      <c r="A26" s="18"/>
      <c r="B26" s="16" t="s">
        <v>447</v>
      </c>
      <c r="C26" s="35"/>
      <c r="D26" s="35"/>
      <c r="E26" s="1228"/>
      <c r="F26" s="39">
        <f>ROUND(E24*E25,6)</f>
        <v>0</v>
      </c>
      <c r="G26" s="22"/>
      <c r="H26" s="22"/>
      <c r="I26" s="22"/>
      <c r="J26" s="22"/>
      <c r="O26" s="14"/>
    </row>
    <row r="27" spans="1:15" ht="12.75" customHeight="1">
      <c r="A27" s="18"/>
      <c r="B27" s="16"/>
      <c r="C27" s="35"/>
      <c r="D27" s="35"/>
      <c r="E27" s="1228"/>
      <c r="F27" s="39"/>
      <c r="G27" s="22"/>
      <c r="H27" s="22"/>
      <c r="I27" s="22"/>
      <c r="J27" s="22"/>
      <c r="O27" s="14"/>
    </row>
    <row r="28" spans="1:15" ht="12.75" customHeight="1">
      <c r="A28" s="18"/>
      <c r="B28" s="16" t="s">
        <v>887</v>
      </c>
      <c r="C28" s="35"/>
      <c r="D28" s="38"/>
      <c r="E28" s="1519">
        <v>0</v>
      </c>
      <c r="F28" s="1228"/>
      <c r="G28" s="22"/>
      <c r="H28" s="22"/>
      <c r="I28" s="22"/>
      <c r="J28" s="22"/>
      <c r="O28" s="14"/>
    </row>
    <row r="29" spans="1:15" ht="12.75" customHeight="1">
      <c r="A29" s="18"/>
      <c r="B29" s="16" t="s">
        <v>888</v>
      </c>
      <c r="C29" s="35"/>
      <c r="D29" s="38"/>
      <c r="E29" s="1519">
        <v>0</v>
      </c>
      <c r="F29" s="1228"/>
      <c r="G29" s="22"/>
      <c r="H29" s="22"/>
      <c r="I29" s="22"/>
      <c r="J29" s="22"/>
      <c r="O29" s="14"/>
    </row>
    <row r="30" spans="1:15" ht="12.75" customHeight="1">
      <c r="A30" s="18"/>
      <c r="B30" s="16" t="s">
        <v>882</v>
      </c>
      <c r="C30" s="35"/>
      <c r="D30" s="35"/>
      <c r="E30" s="1520">
        <v>0</v>
      </c>
      <c r="F30" s="1228"/>
      <c r="G30" s="22"/>
      <c r="H30" s="22"/>
      <c r="I30" s="22"/>
      <c r="J30" s="22"/>
      <c r="O30" s="14"/>
    </row>
    <row r="31" spans="1:15" ht="12.75" customHeight="1">
      <c r="A31" s="18"/>
      <c r="B31" s="16" t="s">
        <v>447</v>
      </c>
      <c r="C31" s="35"/>
      <c r="D31" s="35"/>
      <c r="E31" s="19"/>
      <c r="F31" s="1229">
        <f>ROUND(+E28*E29*E30,6)</f>
        <v>0</v>
      </c>
      <c r="G31" s="22"/>
      <c r="H31" s="22"/>
      <c r="I31" s="22"/>
      <c r="J31" s="22"/>
      <c r="O31" s="14"/>
    </row>
    <row r="32" spans="1:15" ht="12.75" customHeight="1">
      <c r="A32" s="18"/>
      <c r="B32" s="16"/>
      <c r="C32" s="35"/>
      <c r="D32" s="35"/>
      <c r="E32" s="35"/>
      <c r="F32" s="1228"/>
      <c r="G32" s="22"/>
      <c r="H32" s="22"/>
      <c r="I32" s="22"/>
      <c r="J32" s="22"/>
      <c r="O32" s="14"/>
    </row>
    <row r="33" spans="1:15" ht="22.35" customHeight="1" thickBot="1">
      <c r="A33" s="18"/>
      <c r="B33" s="19" t="s">
        <v>203</v>
      </c>
      <c r="C33" s="19"/>
      <c r="D33" s="19"/>
      <c r="E33" s="19"/>
      <c r="F33" s="1287">
        <f>ROUND(SUM(F10:F32),6)</f>
        <v>6.3641000000000003E-2</v>
      </c>
      <c r="G33" s="22"/>
      <c r="H33" s="22"/>
      <c r="I33" s="22"/>
      <c r="J33" s="22"/>
      <c r="O33" s="14"/>
    </row>
    <row r="34" spans="1:15" ht="12.75" customHeight="1" thickTop="1">
      <c r="A34" s="18"/>
      <c r="B34" s="22"/>
      <c r="C34" s="22"/>
      <c r="D34" s="22"/>
      <c r="E34" s="22"/>
      <c r="F34" s="22"/>
      <c r="G34" s="22"/>
      <c r="H34" s="22"/>
      <c r="I34" s="22"/>
      <c r="J34" s="22"/>
      <c r="O34" s="14"/>
    </row>
    <row r="35" spans="1:15" ht="12.75" customHeight="1">
      <c r="A35" s="20"/>
      <c r="B35" s="1598"/>
      <c r="C35" s="1598"/>
      <c r="D35" s="1598"/>
      <c r="E35" s="1598"/>
      <c r="F35" s="1598"/>
      <c r="G35" s="1598"/>
      <c r="H35" s="20"/>
      <c r="L35" s="20"/>
    </row>
    <row r="36" spans="1:15" ht="17.25" customHeight="1">
      <c r="A36" s="20"/>
      <c r="B36" s="1598"/>
      <c r="C36" s="1598"/>
      <c r="D36" s="1598"/>
      <c r="E36" s="1598"/>
      <c r="F36" s="1598"/>
      <c r="G36" s="1598"/>
      <c r="H36" s="20"/>
      <c r="I36" s="20"/>
      <c r="L36" s="20"/>
    </row>
    <row r="37" spans="1:15" ht="18" customHeight="1">
      <c r="A37" s="4" t="s">
        <v>498</v>
      </c>
      <c r="B37" s="4" t="s">
        <v>75</v>
      </c>
      <c r="C37" s="4"/>
      <c r="D37" s="4"/>
      <c r="E37" s="4"/>
      <c r="F37" s="4"/>
      <c r="G37" s="4"/>
      <c r="H37" s="20"/>
      <c r="I37" s="20"/>
      <c r="L37" s="20"/>
    </row>
  </sheetData>
  <mergeCells count="5">
    <mergeCell ref="B35:G36"/>
    <mergeCell ref="A6:G6"/>
    <mergeCell ref="A3:H3"/>
    <mergeCell ref="A4:H4"/>
    <mergeCell ref="A5:H5"/>
  </mergeCells>
  <phoneticPr fontId="0" type="noConversion"/>
  <pageMargins left="0.26" right="1.28" top="1" bottom="1" header="0.75" footer="0.5"/>
  <pageSetup scale="89" orientation="portrait" r:id="rId1"/>
  <headerFooter alignWithMargins="0">
    <oddHeader>&amp;R&amp;"Arial,Bold"Formula Rate 
&amp;A
Page &amp;P of &amp;N</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theme="0" tint="-0.14999847407452621"/>
    <pageSetUpPr fitToPage="1"/>
  </sheetPr>
  <dimension ref="A1:AC58"/>
  <sheetViews>
    <sheetView view="pageBreakPreview" topLeftCell="A16" zoomScale="60" zoomScaleNormal="55" workbookViewId="0">
      <selection activeCell="E47" sqref="E47"/>
    </sheetView>
  </sheetViews>
  <sheetFormatPr defaultColWidth="9.140625" defaultRowHeight="15"/>
  <cols>
    <col min="1" max="1" width="7.42578125" style="121" customWidth="1"/>
    <col min="2" max="2" width="1.5703125" style="122" customWidth="1"/>
    <col min="3" max="3" width="62.42578125" style="122" customWidth="1"/>
    <col min="4" max="4" width="19.140625" style="122" customWidth="1"/>
    <col min="5" max="5" width="22.5703125" style="116" bestFit="1" customWidth="1"/>
    <col min="6" max="6" width="1.5703125" style="107" customWidth="1"/>
    <col min="7" max="7" width="27" style="107" customWidth="1"/>
    <col min="8" max="8" width="1.5703125" style="107" customWidth="1"/>
    <col min="9" max="9" width="21.42578125" style="107" customWidth="1"/>
    <col min="10" max="10" width="1.5703125" style="107" customWidth="1"/>
    <col min="11" max="11" width="19.42578125" style="107" bestFit="1" customWidth="1"/>
    <col min="12" max="12" width="3.42578125" style="107" customWidth="1"/>
    <col min="13" max="13" width="22.5703125" style="107" customWidth="1"/>
    <col min="14" max="14" width="1.42578125" style="107" customWidth="1"/>
    <col min="15" max="15" width="22.140625" style="204" customWidth="1"/>
    <col min="16" max="16384" width="9.140625" style="107"/>
  </cols>
  <sheetData>
    <row r="1" spans="1:29" ht="15.75">
      <c r="A1" s="881" t="s">
        <v>114</v>
      </c>
    </row>
    <row r="2" spans="1:29" ht="15.75">
      <c r="A2" s="881" t="s">
        <v>114</v>
      </c>
    </row>
    <row r="3" spans="1:29" ht="18.75" customHeight="1">
      <c r="A3" s="1553" t="s">
        <v>387</v>
      </c>
      <c r="B3" s="1553"/>
      <c r="C3" s="1553"/>
      <c r="D3" s="1553"/>
      <c r="E3" s="1553"/>
      <c r="F3" s="1553"/>
      <c r="G3" s="1553"/>
      <c r="H3" s="1553"/>
      <c r="I3" s="1553"/>
      <c r="J3" s="1553"/>
      <c r="K3" s="1553"/>
      <c r="L3" s="1553"/>
      <c r="M3" s="1553"/>
    </row>
    <row r="4" spans="1:29" ht="18.75" customHeight="1">
      <c r="A4" s="1554" t="str">
        <f>"Cost of Service Formula Rate Using Actual/Projected FF1 Balances"</f>
        <v>Cost of Service Formula Rate Using Actual/Projected FF1 Balances</v>
      </c>
      <c r="B4" s="1554"/>
      <c r="C4" s="1554"/>
      <c r="D4" s="1554"/>
      <c r="E4" s="1554"/>
      <c r="F4" s="1554"/>
      <c r="G4" s="1554"/>
      <c r="H4" s="1554"/>
      <c r="I4" s="1554"/>
      <c r="J4" s="1554"/>
      <c r="K4" s="1554"/>
      <c r="L4" s="1554"/>
      <c r="M4" s="1554"/>
    </row>
    <row r="5" spans="1:29" ht="18.75" customHeight="1">
      <c r="A5" s="1554" t="s">
        <v>238</v>
      </c>
      <c r="B5" s="1554"/>
      <c r="C5" s="1554"/>
      <c r="D5" s="1554"/>
      <c r="E5" s="1554"/>
      <c r="F5" s="1554"/>
      <c r="G5" s="1554"/>
      <c r="H5" s="1554"/>
      <c r="I5" s="1554"/>
      <c r="J5" s="1554"/>
      <c r="K5" s="1554"/>
      <c r="L5" s="1554"/>
      <c r="M5" s="1554"/>
    </row>
    <row r="6" spans="1:29" ht="18.75" customHeight="1">
      <c r="A6" s="1561" t="str">
        <f>+TCOS!F9</f>
        <v>WHEELING POWER COMPANY</v>
      </c>
      <c r="B6" s="1561"/>
      <c r="C6" s="1561"/>
      <c r="D6" s="1561"/>
      <c r="E6" s="1561"/>
      <c r="F6" s="1561"/>
      <c r="G6" s="1561"/>
      <c r="H6" s="1561"/>
      <c r="I6" s="1561"/>
      <c r="J6" s="1561"/>
      <c r="K6" s="1561"/>
      <c r="L6" s="1561"/>
      <c r="M6" s="1561"/>
    </row>
    <row r="7" spans="1:29" ht="18" customHeight="1">
      <c r="A7" s="1565"/>
      <c r="B7" s="1565"/>
      <c r="C7" s="1565"/>
      <c r="D7" s="1565"/>
      <c r="E7" s="1565"/>
      <c r="F7" s="1565"/>
      <c r="G7" s="1565"/>
      <c r="H7" s="1565"/>
      <c r="I7" s="1565"/>
      <c r="J7" s="1565"/>
      <c r="K7" s="1565"/>
      <c r="L7" s="1565"/>
      <c r="M7" s="1565"/>
    </row>
    <row r="8" spans="1:29" ht="18" customHeight="1">
      <c r="A8" s="1597"/>
      <c r="B8" s="1597"/>
      <c r="C8" s="1597"/>
      <c r="D8" s="1597"/>
      <c r="E8" s="1597"/>
      <c r="F8" s="1597"/>
      <c r="G8" s="1597"/>
      <c r="H8" s="1597"/>
      <c r="I8" s="1597"/>
      <c r="J8" s="1597"/>
      <c r="K8" s="1597"/>
      <c r="L8" s="1597"/>
      <c r="M8" s="1597"/>
    </row>
    <row r="9" spans="1:29" ht="18" customHeight="1">
      <c r="A9" s="156"/>
      <c r="B9" s="156"/>
      <c r="C9" s="156"/>
      <c r="D9" s="156"/>
      <c r="E9" s="156"/>
      <c r="F9" s="156"/>
      <c r="G9" s="156"/>
      <c r="H9" s="156"/>
      <c r="I9" s="156"/>
      <c r="J9" s="156"/>
      <c r="K9" s="156"/>
      <c r="L9" s="156"/>
      <c r="M9" s="156"/>
    </row>
    <row r="10" spans="1:29" ht="19.5" customHeight="1">
      <c r="A10" s="109"/>
      <c r="B10" s="110"/>
      <c r="C10" s="34" t="s">
        <v>162</v>
      </c>
      <c r="E10" s="34" t="s">
        <v>163</v>
      </c>
      <c r="G10" s="34" t="s">
        <v>164</v>
      </c>
      <c r="I10" s="34" t="s">
        <v>165</v>
      </c>
      <c r="K10" s="34" t="s">
        <v>84</v>
      </c>
      <c r="M10" s="34" t="s">
        <v>85</v>
      </c>
    </row>
    <row r="11" spans="1:29" ht="18">
      <c r="A11" s="188"/>
      <c r="B11" s="189"/>
      <c r="C11" s="189"/>
      <c r="D11" s="189"/>
      <c r="E11"/>
      <c r="F11"/>
      <c r="G11"/>
      <c r="H11"/>
      <c r="I11"/>
      <c r="J11"/>
      <c r="K11"/>
      <c r="L11"/>
      <c r="M11"/>
      <c r="Q11" s="37"/>
      <c r="R11" s="37"/>
      <c r="S11" s="37"/>
      <c r="T11" s="37"/>
      <c r="U11" s="37"/>
      <c r="V11" s="37"/>
      <c r="W11" s="37"/>
      <c r="X11" s="37"/>
      <c r="Y11" s="37"/>
      <c r="Z11" s="37"/>
      <c r="AA11" s="37"/>
      <c r="AB11" s="37"/>
      <c r="AC11" s="37"/>
    </row>
    <row r="12" spans="1:29" ht="19.5">
      <c r="A12" s="188" t="s">
        <v>169</v>
      </c>
      <c r="B12" s="189"/>
      <c r="C12" s="189"/>
      <c r="D12" s="189"/>
      <c r="E12" s="190" t="s">
        <v>118</v>
      </c>
      <c r="F12" s="188"/>
      <c r="G12" s="188"/>
      <c r="H12" s="188"/>
      <c r="I12" s="188"/>
      <c r="J12" s="188"/>
      <c r="K12" s="115"/>
      <c r="L12" s="115"/>
      <c r="M12" s="191"/>
    </row>
    <row r="13" spans="1:29" ht="19.5">
      <c r="A13" s="192" t="s">
        <v>117</v>
      </c>
      <c r="B13" s="189"/>
      <c r="C13" s="192" t="s">
        <v>306</v>
      </c>
      <c r="D13" s="189"/>
      <c r="E13" s="193" t="s">
        <v>183</v>
      </c>
      <c r="F13" s="188"/>
      <c r="G13" s="192" t="s">
        <v>309</v>
      </c>
      <c r="H13" s="188"/>
      <c r="I13" s="192" t="s">
        <v>161</v>
      </c>
      <c r="J13" s="188"/>
      <c r="K13" s="194" t="s">
        <v>181</v>
      </c>
      <c r="L13" s="195"/>
      <c r="M13" s="194" t="s">
        <v>310</v>
      </c>
    </row>
    <row r="14" spans="1:29" ht="19.5">
      <c r="A14" s="111"/>
      <c r="B14" s="110"/>
      <c r="C14" s="106"/>
      <c r="D14" s="106"/>
      <c r="E14" s="106" t="s">
        <v>68</v>
      </c>
      <c r="F14" s="106"/>
      <c r="G14" s="106"/>
      <c r="H14" s="106"/>
      <c r="I14" s="106"/>
      <c r="J14" s="106"/>
      <c r="K14" s="105"/>
      <c r="L14" s="105"/>
    </row>
    <row r="15" spans="1:29" ht="19.5">
      <c r="A15" s="109"/>
      <c r="B15" s="110"/>
      <c r="C15" s="110"/>
      <c r="D15" s="110"/>
      <c r="E15" s="112"/>
      <c r="F15" s="108"/>
      <c r="G15" s="108"/>
      <c r="H15" s="108"/>
      <c r="I15" s="104"/>
      <c r="J15" s="108"/>
      <c r="K15" s="105"/>
      <c r="L15" s="105"/>
      <c r="M15" s="108"/>
    </row>
    <row r="16" spans="1:29" ht="19.5">
      <c r="A16" s="109">
        <v>1</v>
      </c>
      <c r="B16" s="110"/>
      <c r="C16" s="113" t="s">
        <v>323</v>
      </c>
      <c r="D16" s="110"/>
      <c r="E16" s="105"/>
      <c r="F16" s="105"/>
      <c r="G16" s="126"/>
      <c r="H16" s="126"/>
      <c r="I16" s="126"/>
      <c r="J16" s="126"/>
      <c r="K16" s="126"/>
      <c r="L16" s="126"/>
      <c r="M16" s="114"/>
    </row>
    <row r="17" spans="1:15" ht="19.5">
      <c r="A17" s="109">
        <f>+A16+1</f>
        <v>2</v>
      </c>
      <c r="B17" s="110"/>
      <c r="C17" s="105" t="s">
        <v>307</v>
      </c>
      <c r="D17" s="110"/>
      <c r="E17" s="253">
        <f>'WS H-1-Detail of Tax Amts'!E15</f>
        <v>506</v>
      </c>
      <c r="F17" s="105"/>
      <c r="G17" s="126"/>
      <c r="H17" s="126"/>
      <c r="I17" s="126"/>
      <c r="J17" s="126"/>
      <c r="K17" s="126"/>
      <c r="L17" s="126"/>
      <c r="M17" s="114">
        <f>+E17</f>
        <v>506</v>
      </c>
    </row>
    <row r="18" spans="1:15" ht="19.5">
      <c r="A18" s="109"/>
      <c r="B18" s="110"/>
      <c r="C18" s="115"/>
      <c r="D18" s="110"/>
      <c r="E18" s="252"/>
      <c r="F18" s="105"/>
      <c r="G18" s="126"/>
      <c r="H18" s="126"/>
      <c r="I18" s="126"/>
      <c r="J18" s="126"/>
      <c r="K18" s="126"/>
      <c r="L18" s="126"/>
      <c r="M18" s="114"/>
    </row>
    <row r="19" spans="1:15" ht="18">
      <c r="A19" s="1071">
        <f>+A17+1</f>
        <v>3</v>
      </c>
      <c r="B19" s="1072"/>
      <c r="C19" s="1073" t="s">
        <v>324</v>
      </c>
      <c r="D19" s="1072"/>
      <c r="E19" s="1074"/>
      <c r="F19" s="1075"/>
      <c r="G19" s="1076"/>
      <c r="H19" s="1069"/>
      <c r="I19" s="1069"/>
      <c r="J19" s="1069"/>
      <c r="K19" s="1069"/>
      <c r="L19" s="1069"/>
      <c r="M19" s="1070"/>
    </row>
    <row r="20" spans="1:15" ht="18">
      <c r="A20" s="1071">
        <f>+A19+1</f>
        <v>4</v>
      </c>
      <c r="B20" s="1072"/>
      <c r="C20" s="1075" t="s">
        <v>594</v>
      </c>
      <c r="D20" s="1075"/>
      <c r="E20" s="1077">
        <f>'WS H-1-Detail of Tax Amts'!E27</f>
        <v>5982973</v>
      </c>
      <c r="F20" s="1075"/>
      <c r="G20" s="1076">
        <f>+E20</f>
        <v>5982973</v>
      </c>
      <c r="H20" s="1069"/>
      <c r="I20" s="1069"/>
      <c r="J20" s="1069"/>
      <c r="K20" s="1069"/>
      <c r="L20" s="1069"/>
      <c r="M20" s="1070"/>
      <c r="O20"/>
    </row>
    <row r="21" spans="1:15" ht="18">
      <c r="A21" s="1071">
        <f>A20+1</f>
        <v>5</v>
      </c>
      <c r="B21" s="1072"/>
      <c r="C21" s="1075" t="s">
        <v>462</v>
      </c>
      <c r="D21" s="1077"/>
      <c r="E21" s="1077">
        <f>'WS H-1-Detail of Tax Amts'!E50</f>
        <v>0</v>
      </c>
      <c r="F21" s="1075"/>
      <c r="G21" s="1076">
        <f>E21</f>
        <v>0</v>
      </c>
      <c r="H21" s="1069"/>
      <c r="I21" s="1069"/>
      <c r="J21" s="1069"/>
      <c r="K21" s="1069"/>
      <c r="L21" s="1069"/>
      <c r="M21" s="1070"/>
      <c r="O21"/>
    </row>
    <row r="22" spans="1:15" ht="19.5">
      <c r="A22" s="109"/>
      <c r="B22" s="110"/>
      <c r="C22" s="115"/>
      <c r="D22" s="110"/>
      <c r="E22" s="252"/>
      <c r="F22" s="105"/>
      <c r="G22" s="126"/>
      <c r="H22" s="126"/>
      <c r="I22" s="126"/>
      <c r="J22" s="126"/>
      <c r="K22" s="126"/>
      <c r="L22" s="126"/>
      <c r="M22" s="114"/>
      <c r="O22" s="205"/>
    </row>
    <row r="23" spans="1:15" ht="19.5">
      <c r="A23" s="109">
        <f>+A21+1</f>
        <v>6</v>
      </c>
      <c r="B23" s="110"/>
      <c r="C23" s="113" t="s">
        <v>325</v>
      </c>
      <c r="D23" s="110"/>
      <c r="E23" s="252"/>
      <c r="F23" s="105"/>
      <c r="G23" s="126"/>
      <c r="H23" s="126"/>
      <c r="I23" s="126"/>
      <c r="J23" s="126"/>
      <c r="K23" s="126"/>
      <c r="L23" s="126"/>
      <c r="M23" s="114"/>
      <c r="O23" s="205"/>
    </row>
    <row r="24" spans="1:15" ht="19.5">
      <c r="A24" s="109">
        <f>+A23+1</f>
        <v>7</v>
      </c>
      <c r="B24" s="110"/>
      <c r="C24" s="108" t="s">
        <v>321</v>
      </c>
      <c r="D24" s="110"/>
      <c r="E24" s="253">
        <f>'WS H-1-Detail of Tax Amts'!E61</f>
        <v>829143</v>
      </c>
      <c r="F24" s="105"/>
      <c r="G24" s="126"/>
      <c r="H24" s="126"/>
      <c r="I24" s="126">
        <f>+E24</f>
        <v>829143</v>
      </c>
      <c r="J24" s="126"/>
      <c r="K24" s="126"/>
      <c r="L24" s="126"/>
      <c r="M24" s="114"/>
      <c r="O24" s="205"/>
    </row>
    <row r="25" spans="1:15" ht="19.5">
      <c r="A25" s="109">
        <f>+A24+1</f>
        <v>8</v>
      </c>
      <c r="B25" s="110"/>
      <c r="C25" s="108" t="s">
        <v>314</v>
      </c>
      <c r="D25" s="110"/>
      <c r="E25" s="253">
        <f>'WS H-1-Detail of Tax Amts'!E63</f>
        <v>11113</v>
      </c>
      <c r="F25" s="105"/>
      <c r="G25" s="105"/>
      <c r="H25" s="105"/>
      <c r="I25" s="114">
        <f>+E25</f>
        <v>11113</v>
      </c>
      <c r="J25" s="108"/>
      <c r="K25" s="105"/>
      <c r="L25" s="105"/>
      <c r="M25" s="114"/>
    </row>
    <row r="26" spans="1:15" ht="19.5">
      <c r="A26" s="109">
        <f>+A25+1</f>
        <v>9</v>
      </c>
      <c r="B26" s="110"/>
      <c r="C26" s="108" t="s">
        <v>315</v>
      </c>
      <c r="D26" s="110"/>
      <c r="E26" s="253">
        <f>'WS H-1-Detail of Tax Amts'!E65</f>
        <v>31773</v>
      </c>
      <c r="F26" s="105"/>
      <c r="G26" s="105"/>
      <c r="H26" s="105"/>
      <c r="I26" s="114">
        <f>+E26</f>
        <v>31773</v>
      </c>
      <c r="J26" s="112"/>
      <c r="K26" s="105"/>
      <c r="L26" s="105"/>
      <c r="M26" s="114"/>
    </row>
    <row r="27" spans="1:15" ht="19.5">
      <c r="A27" s="109" t="s">
        <v>114</v>
      </c>
      <c r="B27" s="110"/>
      <c r="C27" s="105"/>
      <c r="D27" s="110"/>
      <c r="E27" s="252"/>
      <c r="F27" s="105"/>
      <c r="G27" s="105"/>
      <c r="H27" s="105"/>
      <c r="I27" s="114"/>
      <c r="J27" s="104"/>
      <c r="K27" s="1292"/>
      <c r="L27" s="1292"/>
      <c r="M27" s="114"/>
    </row>
    <row r="28" spans="1:15" ht="19.5">
      <c r="A28" s="109">
        <f>A26+1</f>
        <v>10</v>
      </c>
      <c r="B28" s="110"/>
      <c r="C28" s="113" t="s">
        <v>439</v>
      </c>
      <c r="D28" s="110"/>
      <c r="E28" s="252"/>
      <c r="F28" s="105"/>
      <c r="G28" s="105"/>
      <c r="H28" s="105"/>
      <c r="I28" s="114"/>
      <c r="J28" s="104"/>
      <c r="K28" s="1292"/>
      <c r="L28" s="1292"/>
      <c r="M28" s="114"/>
    </row>
    <row r="29" spans="1:15" ht="19.5">
      <c r="A29" s="109">
        <f>A28+1</f>
        <v>11</v>
      </c>
      <c r="B29" s="110"/>
      <c r="C29" s="120" t="s">
        <v>440</v>
      </c>
      <c r="D29" s="207"/>
      <c r="E29" s="253">
        <f>'WS H-1-Detail of Tax Amts'!E71</f>
        <v>0</v>
      </c>
      <c r="F29" s="120"/>
      <c r="G29" s="105"/>
      <c r="H29" s="105"/>
      <c r="I29" s="114"/>
      <c r="J29" s="104"/>
      <c r="K29" s="1292"/>
      <c r="L29" s="1292"/>
      <c r="M29" s="114">
        <f>E29</f>
        <v>0</v>
      </c>
    </row>
    <row r="30" spans="1:15" ht="19.5">
      <c r="A30" s="109"/>
      <c r="B30" s="110"/>
      <c r="C30" s="105"/>
      <c r="D30" s="110"/>
      <c r="E30" s="252"/>
      <c r="F30" s="105"/>
      <c r="G30" s="105"/>
      <c r="H30" s="105"/>
      <c r="I30" s="114"/>
      <c r="J30" s="104"/>
      <c r="K30" s="1292"/>
      <c r="L30" s="1292"/>
      <c r="M30" s="114"/>
    </row>
    <row r="31" spans="1:15" ht="19.5">
      <c r="A31" s="117">
        <f>+A29+1</f>
        <v>12</v>
      </c>
      <c r="B31" s="118"/>
      <c r="C31" s="113" t="s">
        <v>322</v>
      </c>
      <c r="D31" s="1293"/>
      <c r="E31" s="252"/>
      <c r="F31" s="105"/>
      <c r="G31" s="114"/>
      <c r="H31" s="114"/>
      <c r="I31" s="114"/>
      <c r="J31" s="114"/>
      <c r="K31" s="114"/>
      <c r="L31" s="114"/>
      <c r="M31" s="114"/>
    </row>
    <row r="32" spans="1:15" ht="19.5">
      <c r="A32" s="117">
        <f>A31+1</f>
        <v>13</v>
      </c>
      <c r="B32" s="118"/>
      <c r="C32" s="105" t="s">
        <v>1115</v>
      </c>
      <c r="D32" s="1274"/>
      <c r="E32" s="253">
        <f>'WS H-1-Detail of Tax Amts'!E75</f>
        <v>2645242</v>
      </c>
      <c r="F32" s="120"/>
      <c r="G32" s="114"/>
      <c r="H32" s="114"/>
      <c r="I32" s="114"/>
      <c r="J32" s="114"/>
      <c r="K32" s="114"/>
      <c r="L32" s="114"/>
      <c r="M32" s="114">
        <f>E32</f>
        <v>2645242</v>
      </c>
    </row>
    <row r="33" spans="1:13" ht="19.5">
      <c r="A33" s="109">
        <f>A32+1</f>
        <v>14</v>
      </c>
      <c r="B33" s="110"/>
      <c r="C33" s="105" t="s">
        <v>316</v>
      </c>
      <c r="D33" s="110"/>
      <c r="E33" s="154">
        <f>'WS H-1-Detail of Tax Amts'!E79</f>
        <v>0</v>
      </c>
      <c r="F33" s="105"/>
      <c r="G33" s="114"/>
      <c r="H33" s="114"/>
      <c r="I33" s="114"/>
      <c r="J33" s="114"/>
      <c r="K33" s="114">
        <f>+E33</f>
        <v>0</v>
      </c>
      <c r="L33" s="114"/>
      <c r="M33" s="114"/>
    </row>
    <row r="34" spans="1:13" ht="19.5">
      <c r="A34" s="109">
        <f t="shared" ref="A34:A40" si="0">+A33+1</f>
        <v>15</v>
      </c>
      <c r="B34" s="110"/>
      <c r="C34" s="105" t="s">
        <v>317</v>
      </c>
      <c r="D34" s="22"/>
      <c r="E34" s="154">
        <f>'WS H-1-Detail of Tax Amts'!E83</f>
        <v>0</v>
      </c>
      <c r="F34" s="105"/>
      <c r="G34" s="154"/>
      <c r="H34" s="154"/>
      <c r="I34" s="154"/>
      <c r="J34" s="154"/>
      <c r="K34" s="114">
        <f>+E34</f>
        <v>0</v>
      </c>
      <c r="L34" s="154"/>
      <c r="M34" s="114"/>
    </row>
    <row r="35" spans="1:13" ht="19.5">
      <c r="A35" s="109">
        <f>+A34+1</f>
        <v>16</v>
      </c>
      <c r="B35" s="110"/>
      <c r="C35" s="105" t="s">
        <v>318</v>
      </c>
      <c r="D35" s="22"/>
      <c r="E35" s="154">
        <f>'WS H-1-Detail of Tax Amts'!E93</f>
        <v>0</v>
      </c>
      <c r="F35" s="105"/>
      <c r="G35" s="114"/>
      <c r="H35" s="114"/>
      <c r="I35" s="114"/>
      <c r="J35" s="114"/>
      <c r="K35" s="114">
        <f>+E35</f>
        <v>0</v>
      </c>
      <c r="L35" s="114"/>
      <c r="M35" s="114"/>
    </row>
    <row r="36" spans="1:13" ht="19.5">
      <c r="A36" s="109">
        <f t="shared" si="0"/>
        <v>17</v>
      </c>
      <c r="B36" s="110"/>
      <c r="C36" s="105" t="s">
        <v>319</v>
      </c>
      <c r="D36" s="110"/>
      <c r="E36" s="154">
        <f>'WS H-1-Detail of Tax Amts'!E100</f>
        <v>0</v>
      </c>
      <c r="F36" s="105"/>
      <c r="G36" s="114"/>
      <c r="H36" s="114"/>
      <c r="I36" s="114"/>
      <c r="J36" s="114"/>
      <c r="K36" s="114">
        <f>+E36</f>
        <v>0</v>
      </c>
      <c r="L36" s="114"/>
      <c r="M36" s="114"/>
    </row>
    <row r="37" spans="1:13" ht="19.5">
      <c r="A37" s="109">
        <f t="shared" si="0"/>
        <v>18</v>
      </c>
      <c r="B37" s="110"/>
      <c r="C37" s="105" t="s">
        <v>320</v>
      </c>
      <c r="D37" s="110"/>
      <c r="E37" s="154">
        <f>'WS H-1-Detail of Tax Amts'!E103</f>
        <v>0</v>
      </c>
      <c r="F37" s="120"/>
      <c r="G37" s="114"/>
      <c r="H37" s="114"/>
      <c r="I37" s="114"/>
      <c r="J37" s="114"/>
      <c r="K37" s="114"/>
      <c r="L37" s="114"/>
      <c r="M37" s="114">
        <f>+E37</f>
        <v>0</v>
      </c>
    </row>
    <row r="38" spans="1:13" ht="19.5">
      <c r="A38" s="109">
        <f t="shared" si="0"/>
        <v>19</v>
      </c>
      <c r="B38" s="105"/>
      <c r="C38" s="105" t="s">
        <v>308</v>
      </c>
      <c r="D38" s="105"/>
      <c r="E38" s="154">
        <f>'WS H-1-Detail of Tax Amts'!E107</f>
        <v>0</v>
      </c>
      <c r="F38" s="105"/>
      <c r="G38" s="114"/>
      <c r="H38" s="114"/>
      <c r="I38" s="114"/>
      <c r="J38" s="114"/>
      <c r="K38" s="114"/>
      <c r="L38" s="114"/>
      <c r="M38" s="114">
        <f>+E38</f>
        <v>0</v>
      </c>
    </row>
    <row r="39" spans="1:13" ht="19.5">
      <c r="A39" s="109">
        <f t="shared" si="0"/>
        <v>20</v>
      </c>
      <c r="B39" s="105"/>
      <c r="C39" s="125" t="s">
        <v>1116</v>
      </c>
      <c r="D39" s="120"/>
      <c r="E39" s="154">
        <f>'WS H-1-Detail of Tax Amts'!E110</f>
        <v>11602197</v>
      </c>
      <c r="F39" s="120"/>
      <c r="G39" s="114"/>
      <c r="H39" s="114"/>
      <c r="I39" s="114"/>
      <c r="J39" s="114"/>
      <c r="K39" s="114"/>
      <c r="L39" s="114"/>
      <c r="M39" s="114">
        <f>+E39</f>
        <v>11602197</v>
      </c>
    </row>
    <row r="40" spans="1:13" ht="19.5">
      <c r="A40" s="109">
        <f t="shared" si="0"/>
        <v>21</v>
      </c>
      <c r="B40" s="105"/>
      <c r="C40" s="125"/>
      <c r="D40" s="120"/>
      <c r="E40" s="154"/>
      <c r="F40" s="120"/>
      <c r="G40" s="114"/>
      <c r="H40" s="114"/>
      <c r="I40" s="114"/>
      <c r="J40" s="114"/>
      <c r="K40" s="114"/>
      <c r="L40" s="114"/>
      <c r="M40" s="114"/>
    </row>
    <row r="41" spans="1:13" ht="20.25" thickBot="1">
      <c r="A41" s="109">
        <f>A40+1</f>
        <v>22</v>
      </c>
      <c r="B41" s="216"/>
      <c r="C41" s="105" t="s">
        <v>311</v>
      </c>
      <c r="D41" s="22"/>
      <c r="E41" s="124">
        <f>SUM(E17:E39)</f>
        <v>21102947</v>
      </c>
      <c r="F41" s="105"/>
      <c r="G41" s="124">
        <f>SUM(G17:G39)</f>
        <v>5982973</v>
      </c>
      <c r="H41" s="123"/>
      <c r="I41" s="124">
        <f>SUM(I17:I39)</f>
        <v>872029</v>
      </c>
      <c r="J41" s="123"/>
      <c r="K41" s="124">
        <f>SUM(K17:K39)</f>
        <v>0</v>
      </c>
      <c r="L41" s="1294"/>
      <c r="M41" s="124">
        <f>SUM(M17:M39)</f>
        <v>14247945</v>
      </c>
    </row>
    <row r="42" spans="1:13" ht="20.25" thickTop="1">
      <c r="A42" s="5"/>
      <c r="B42" s="216"/>
      <c r="C42" s="105" t="s">
        <v>381</v>
      </c>
      <c r="D42" s="22"/>
      <c r="E42" s="22"/>
      <c r="F42" s="105"/>
      <c r="G42" s="123"/>
      <c r="H42" s="123"/>
      <c r="I42" s="123"/>
      <c r="J42" s="1295"/>
      <c r="K42" s="1294"/>
      <c r="L42" s="1294"/>
      <c r="M42" s="1294"/>
    </row>
    <row r="43" spans="1:13" ht="19.5">
      <c r="A43" s="5"/>
      <c r="B43" s="216"/>
      <c r="C43" s="120" t="s">
        <v>79</v>
      </c>
      <c r="D43" s="22"/>
      <c r="E43" s="22"/>
      <c r="F43" s="105"/>
      <c r="G43" s="123"/>
      <c r="H43" s="123"/>
      <c r="I43" s="123"/>
      <c r="J43" s="1295"/>
      <c r="K43" s="1294"/>
      <c r="L43" s="1294"/>
      <c r="M43" s="1294"/>
    </row>
    <row r="44" spans="1:13" ht="19.5">
      <c r="A44" s="5"/>
      <c r="B44" s="216"/>
      <c r="C44" s="1599" t="s">
        <v>461</v>
      </c>
      <c r="D44" s="1599"/>
      <c r="E44" s="1599"/>
      <c r="F44" s="1599"/>
      <c r="G44" s="1599"/>
      <c r="H44" s="1599"/>
      <c r="I44" s="1599"/>
      <c r="J44" s="1599"/>
      <c r="K44" s="1599"/>
      <c r="L44" s="1599"/>
      <c r="M44" s="1599"/>
    </row>
    <row r="45" spans="1:13" ht="19.5">
      <c r="A45" s="109"/>
      <c r="C45" s="105"/>
      <c r="D45" s="105"/>
      <c r="E45" s="127" t="s">
        <v>229</v>
      </c>
      <c r="F45" s="108"/>
      <c r="G45" s="127" t="s">
        <v>333</v>
      </c>
      <c r="H45" s="127"/>
      <c r="I45" s="127" t="s">
        <v>438</v>
      </c>
      <c r="J45" s="127"/>
      <c r="K45" s="127" t="s">
        <v>334</v>
      </c>
      <c r="L45" s="127"/>
      <c r="M45" s="127" t="s">
        <v>118</v>
      </c>
    </row>
    <row r="46" spans="1:13" ht="19.5">
      <c r="A46" s="150">
        <f>+A41+1</f>
        <v>23</v>
      </c>
      <c r="B46" s="151"/>
      <c r="C46" s="230" t="str">
        <f>"Functionalized Net Plant (TCOS, Lns "&amp;TCOS!B90&amp;" thru "&amp;TCOS!B95&amp;")"</f>
        <v>Functionalized Net Plant (TCOS, Lns 41 thru 46)</v>
      </c>
      <c r="D46" s="120"/>
      <c r="E46" s="231">
        <f>TCOS!G90</f>
        <v>551225316.86076891</v>
      </c>
      <c r="F46" s="230"/>
      <c r="G46" s="231">
        <f>+TCOS!G91</f>
        <v>130527685.11923075</v>
      </c>
      <c r="H46" s="230"/>
      <c r="I46" s="231">
        <f>+TCOS!G92</f>
        <v>180054704.13</v>
      </c>
      <c r="J46" s="230"/>
      <c r="K46" s="232">
        <f>+TCOS!G93</f>
        <v>7849386.3399999989</v>
      </c>
      <c r="L46" s="120"/>
      <c r="M46" s="152">
        <f>SUM(E46:K46)</f>
        <v>869657092.44999969</v>
      </c>
    </row>
    <row r="47" spans="1:13" ht="19.5">
      <c r="A47" s="150"/>
      <c r="B47" s="151"/>
      <c r="C47" s="115" t="s">
        <v>889</v>
      </c>
      <c r="D47" s="120"/>
      <c r="E47" s="152" t="s">
        <v>114</v>
      </c>
      <c r="F47" s="120"/>
      <c r="G47" s="1230"/>
      <c r="H47" s="120"/>
      <c r="I47" s="152"/>
      <c r="J47" s="120"/>
      <c r="K47" s="153"/>
      <c r="L47" s="120"/>
      <c r="M47" s="1231"/>
    </row>
    <row r="48" spans="1:13" ht="19.5">
      <c r="A48" s="150">
        <f>+A46+1</f>
        <v>24</v>
      </c>
      <c r="B48" s="151"/>
      <c r="C48" s="120" t="str">
        <f>"Percentage of Plant in "&amp;C47&amp;""</f>
        <v>Percentage of Plant in WEST VA JURISDICTION</v>
      </c>
      <c r="D48" s="120"/>
      <c r="E48" s="1232">
        <v>1</v>
      </c>
      <c r="F48" s="1296"/>
      <c r="G48" s="1232">
        <v>1</v>
      </c>
      <c r="H48" s="1296"/>
      <c r="I48" s="1232">
        <v>0.99976319899391897</v>
      </c>
      <c r="J48" s="1230"/>
      <c r="K48" s="1232">
        <v>0.95863950594520697</v>
      </c>
      <c r="L48" s="120"/>
      <c r="M48" s="1231"/>
    </row>
    <row r="49" spans="1:21" ht="19.5">
      <c r="A49" s="150">
        <f t="shared" ref="A49:A55" si="1">+A48+1</f>
        <v>25</v>
      </c>
      <c r="B49" s="151"/>
      <c r="C49" s="230" t="str">
        <f>"Net Plant in "&amp;C47&amp;" (Ln "&amp;A46&amp;" * Ln "&amp;A48&amp;")"</f>
        <v>Net Plant in WEST VA JURISDICTION (Ln 23 * Ln 24)</v>
      </c>
      <c r="D49" s="120"/>
      <c r="E49" s="152">
        <f>+E46*E48</f>
        <v>551225316.86076891</v>
      </c>
      <c r="F49" s="120"/>
      <c r="G49" s="152">
        <f>+G46*G48</f>
        <v>130527685.11923075</v>
      </c>
      <c r="H49" s="120"/>
      <c r="I49" s="152">
        <f>+I46*I48</f>
        <v>180012066.99491239</v>
      </c>
      <c r="J49" s="120"/>
      <c r="K49" s="152">
        <f>+K46*K48</f>
        <v>7524731.8429506551</v>
      </c>
      <c r="L49" s="120"/>
      <c r="M49" s="152">
        <f>SUM(E49:K49)</f>
        <v>869289800.81786275</v>
      </c>
      <c r="O49"/>
    </row>
    <row r="50" spans="1:21" ht="19.5">
      <c r="A50" s="150">
        <f t="shared" si="1"/>
        <v>26</v>
      </c>
      <c r="B50" s="151"/>
      <c r="C50" s="230" t="s">
        <v>225</v>
      </c>
      <c r="D50" s="120"/>
      <c r="E50" s="1396">
        <v>444006904</v>
      </c>
      <c r="F50" s="120"/>
      <c r="G50" s="200"/>
      <c r="H50" s="120"/>
      <c r="I50" s="200"/>
      <c r="J50" s="120"/>
      <c r="K50" s="201"/>
      <c r="L50" s="120"/>
      <c r="M50" s="152"/>
      <c r="O50"/>
    </row>
    <row r="51" spans="1:21" ht="19.5">
      <c r="A51" s="150">
        <f t="shared" si="1"/>
        <v>27</v>
      </c>
      <c r="B51" s="151"/>
      <c r="C51" s="120" t="str">
        <f>"Taxable Property Basis (Ln "&amp;A49&amp;" - Ln "&amp;A50&amp;")"</f>
        <v>Taxable Property Basis (Ln 25 - Ln 26)</v>
      </c>
      <c r="D51" s="120"/>
      <c r="E51" s="152">
        <f>+E49-E50</f>
        <v>107218412.86076891</v>
      </c>
      <c r="F51" s="120"/>
      <c r="G51" s="152">
        <f>+G49-G50</f>
        <v>130527685.11923075</v>
      </c>
      <c r="H51" s="120"/>
      <c r="I51" s="152">
        <f>+I49-I50</f>
        <v>180012066.99491239</v>
      </c>
      <c r="J51" s="120"/>
      <c r="K51" s="152">
        <f>+K49-K50</f>
        <v>7524731.8429506551</v>
      </c>
      <c r="L51" s="120"/>
      <c r="M51" s="152">
        <f>SUM(E51:K51)</f>
        <v>425282896.81786269</v>
      </c>
      <c r="O51"/>
    </row>
    <row r="52" spans="1:21" ht="19.5">
      <c r="A52" s="150">
        <f t="shared" si="1"/>
        <v>28</v>
      </c>
      <c r="B52" s="151"/>
      <c r="C52" s="154" t="s">
        <v>460</v>
      </c>
      <c r="D52" s="120"/>
      <c r="E52" s="1233">
        <v>1</v>
      </c>
      <c r="F52" s="1297"/>
      <c r="G52" s="1233">
        <v>1</v>
      </c>
      <c r="H52" s="1297"/>
      <c r="I52" s="1233">
        <v>1</v>
      </c>
      <c r="J52" s="1234"/>
      <c r="K52" s="1233">
        <v>1</v>
      </c>
      <c r="L52" s="120"/>
      <c r="M52" s="196">
        <f>SUM(E52:K52)</f>
        <v>4</v>
      </c>
      <c r="O52"/>
    </row>
    <row r="53" spans="1:21" ht="19.5">
      <c r="A53" s="150">
        <f t="shared" si="1"/>
        <v>29</v>
      </c>
      <c r="B53" s="151"/>
      <c r="C53" s="230" t="str">
        <f>"Weighted Net Plant (Ln "&amp;A51&amp;" * Ln "&amp;A52&amp;")"</f>
        <v>Weighted Net Plant (Ln 27 * Ln 28)</v>
      </c>
      <c r="D53" s="120"/>
      <c r="E53" s="152">
        <f>+E51*E52</f>
        <v>107218412.86076891</v>
      </c>
      <c r="F53" s="120"/>
      <c r="G53" s="152">
        <f>+G51*G52</f>
        <v>130527685.11923075</v>
      </c>
      <c r="H53" s="120"/>
      <c r="I53" s="152">
        <f>+I51*I52</f>
        <v>180012066.99491239</v>
      </c>
      <c r="J53" s="120"/>
      <c r="K53" s="152">
        <f>+K51*K52</f>
        <v>7524731.8429506551</v>
      </c>
      <c r="L53" s="120"/>
      <c r="M53" s="152"/>
      <c r="O53"/>
      <c r="P53"/>
      <c r="Q53"/>
      <c r="R53"/>
      <c r="S53"/>
      <c r="T53"/>
      <c r="U53"/>
    </row>
    <row r="54" spans="1:21" ht="19.5">
      <c r="A54" s="150">
        <f t="shared" si="1"/>
        <v>30</v>
      </c>
      <c r="B54" s="151"/>
      <c r="C54" s="120" t="str">
        <f>+"General Plant Allocator (Ln "&amp;A53&amp;" / (Total - General Plant))"</f>
        <v>General Plant Allocator (Ln 29 / (Total - General Plant))</v>
      </c>
      <c r="D54" s="120"/>
      <c r="E54" s="1235">
        <f>IF(E52=0,0,+E53/($E53+$G53+$I53))</f>
        <v>0.25665186667795659</v>
      </c>
      <c r="F54" s="120"/>
      <c r="G54" s="1235">
        <f>IF(G52=0,0,+G53/($E53+$G53+$I53))</f>
        <v>0.31244795688689753</v>
      </c>
      <c r="H54" s="120"/>
      <c r="I54" s="1235">
        <f>IF(I52=0,0,+I53/($E53+$G53+$I53))</f>
        <v>0.43090017643514589</v>
      </c>
      <c r="J54" s="120"/>
      <c r="K54" s="1235">
        <v>-1</v>
      </c>
      <c r="L54" s="120"/>
      <c r="M54" s="120"/>
      <c r="O54"/>
      <c r="P54"/>
      <c r="Q54"/>
      <c r="R54"/>
      <c r="S54"/>
      <c r="T54"/>
      <c r="U54"/>
    </row>
    <row r="55" spans="1:21" ht="19.5">
      <c r="A55" s="150">
        <f t="shared" si="1"/>
        <v>31</v>
      </c>
      <c r="B55" s="151"/>
      <c r="C55" s="120" t="str">
        <f>"Functionalized General Plant (Ln "&amp;A54&amp;" * General Plant)"</f>
        <v>Functionalized General Plant (Ln 30 * General Plant)</v>
      </c>
      <c r="D55" s="120"/>
      <c r="E55" s="1236">
        <f>ROUND($K53*E54,0)</f>
        <v>1931236</v>
      </c>
      <c r="F55" s="120"/>
      <c r="G55" s="1236">
        <f>+G54*K53</f>
        <v>2351087.0904517113</v>
      </c>
      <c r="H55" s="120"/>
      <c r="I55" s="1236">
        <f>ROUND($K53*I54,0)</f>
        <v>3242408</v>
      </c>
      <c r="J55" s="120"/>
      <c r="K55" s="1236">
        <f>ROUND($K53*K54,0)</f>
        <v>-7524732</v>
      </c>
      <c r="L55" s="120"/>
      <c r="M55" s="152">
        <f>IF(SUM(E55:K55)&lt;&gt;0,0,0)</f>
        <v>0</v>
      </c>
      <c r="O55"/>
      <c r="P55"/>
      <c r="Q55"/>
      <c r="R55"/>
      <c r="S55"/>
      <c r="T55"/>
      <c r="U55"/>
    </row>
    <row r="56" spans="1:21" ht="19.5">
      <c r="A56" s="150">
        <f>+A55+1</f>
        <v>32</v>
      </c>
      <c r="B56" s="151"/>
      <c r="C56" s="120" t="str">
        <f>"Weighted "&amp;C47&amp;" Plant (Ln "&amp;A53&amp;" + "&amp;A55&amp;")"</f>
        <v>Weighted WEST VA JURISDICTION Plant (Ln 29 + 31)</v>
      </c>
      <c r="D56" s="120"/>
      <c r="E56" s="152">
        <f>+E53+E55</f>
        <v>109149648.86076891</v>
      </c>
      <c r="F56" s="120"/>
      <c r="G56" s="153">
        <f>+G53+G55</f>
        <v>132878772.20968246</v>
      </c>
      <c r="H56" s="120"/>
      <c r="I56" s="152">
        <f>+I53+I55</f>
        <v>183254474.99491239</v>
      </c>
      <c r="J56" s="120"/>
      <c r="K56" s="152">
        <f>+K53+K55</f>
        <v>-0.15704934485256672</v>
      </c>
      <c r="L56" s="120"/>
      <c r="M56" s="152">
        <f>SUM(E56:K56)-SUM(E55:K55)</f>
        <v>425282896.81786269</v>
      </c>
      <c r="O56"/>
    </row>
    <row r="57" spans="1:21" ht="19.5">
      <c r="A57" s="150">
        <f>+A56+1</f>
        <v>33</v>
      </c>
      <c r="B57" s="151"/>
      <c r="C57" s="120" t="str">
        <f>"Functional Percentage (Ln "&amp;A56&amp;"/Total Ln "&amp;A56&amp;")"</f>
        <v>Functional Percentage (Ln 32/Total Ln 32)</v>
      </c>
      <c r="D57" s="120"/>
      <c r="E57" s="1230">
        <f>+E56/M56</f>
        <v>0.25665186556400549</v>
      </c>
      <c r="F57" s="120"/>
      <c r="G57" s="1237">
        <f>+G56/M56</f>
        <v>0.31244795688689758</v>
      </c>
      <c r="H57" s="120"/>
      <c r="I57" s="1230">
        <f>+I56/M56</f>
        <v>0.43090017577968903</v>
      </c>
      <c r="J57" s="120"/>
      <c r="K57" s="22"/>
      <c r="L57" s="120"/>
      <c r="M57" s="152"/>
      <c r="O57"/>
    </row>
    <row r="58" spans="1:21" ht="19.5">
      <c r="A58" s="150"/>
      <c r="B58" s="151"/>
      <c r="C58" s="120"/>
      <c r="D58" s="120"/>
      <c r="E58" s="199"/>
      <c r="F58" s="120"/>
      <c r="G58" s="199"/>
      <c r="H58" s="120"/>
      <c r="I58" s="199"/>
      <c r="J58" s="120"/>
      <c r="K58"/>
      <c r="L58" s="120"/>
      <c r="M58" s="153"/>
      <c r="O58"/>
    </row>
  </sheetData>
  <mergeCells count="7">
    <mergeCell ref="A8:M8"/>
    <mergeCell ref="A7:M7"/>
    <mergeCell ref="C44:M44"/>
    <mergeCell ref="A3:M3"/>
    <mergeCell ref="A4:M4"/>
    <mergeCell ref="A5:M5"/>
    <mergeCell ref="A6:M6"/>
  </mergeCells>
  <phoneticPr fontId="74" type="noConversion"/>
  <pageMargins left="0.59" right="0.84" top="1" bottom="1" header="0.75" footer="0.5"/>
  <pageSetup scale="43" orientation="portrait" r:id="rId1"/>
  <headerFooter alignWithMargins="0">
    <oddHeader>&amp;R&amp;"Arial,Bold"Formula Rate 
&amp;A
Page &amp;P of &amp;N</oddHeader>
  </headerFooter>
  <colBreaks count="1" manualBreakCount="1">
    <brk id="13" min="2" max="90"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T126"/>
  <sheetViews>
    <sheetView view="pageBreakPreview" topLeftCell="A52" zoomScale="70" zoomScaleNormal="70" zoomScaleSheetLayoutView="70" workbookViewId="0">
      <selection activeCell="F101" sqref="F101"/>
    </sheetView>
  </sheetViews>
  <sheetFormatPr defaultColWidth="9.140625" defaultRowHeight="12.75"/>
  <cols>
    <col min="1" max="1" width="7.42578125" style="121" customWidth="1"/>
    <col min="2" max="2" width="1.5703125" style="122" customWidth="1"/>
    <col min="3" max="3" width="68.5703125" style="122" customWidth="1"/>
    <col min="4" max="4" width="19.140625" style="122" customWidth="1"/>
    <col min="5" max="5" width="20.42578125" style="116" customWidth="1"/>
    <col min="6" max="6" width="20.42578125" style="107" bestFit="1" customWidth="1"/>
    <col min="7" max="7" width="40.42578125" style="107" bestFit="1" customWidth="1"/>
    <col min="8" max="8" width="13" style="107" bestFit="1" customWidth="1"/>
    <col min="9" max="9" width="34" style="107" customWidth="1"/>
    <col min="10" max="16384" width="9.140625" style="107"/>
  </cols>
  <sheetData>
    <row r="1" spans="1:20" ht="15.75">
      <c r="A1" s="881" t="s">
        <v>114</v>
      </c>
    </row>
    <row r="2" spans="1:20" ht="15.75">
      <c r="A2" s="881" t="s">
        <v>114</v>
      </c>
    </row>
    <row r="3" spans="1:20" ht="18.75" customHeight="1">
      <c r="A3" s="1553" t="s">
        <v>387</v>
      </c>
      <c r="B3" s="1553"/>
      <c r="C3" s="1553"/>
      <c r="D3" s="1553"/>
      <c r="E3" s="1553"/>
      <c r="F3" s="1553"/>
    </row>
    <row r="4" spans="1:20" ht="18.75" customHeight="1">
      <c r="A4" s="1554" t="str">
        <f>"Cost of Service Formula Rate Using Actual/Projected FF1 Balances"</f>
        <v>Cost of Service Formula Rate Using Actual/Projected FF1 Balances</v>
      </c>
      <c r="B4" s="1554"/>
      <c r="C4" s="1554"/>
      <c r="D4" s="1554"/>
      <c r="E4" s="1554"/>
      <c r="F4" s="1554"/>
    </row>
    <row r="5" spans="1:20" ht="18.75" customHeight="1">
      <c r="A5" s="1554" t="s">
        <v>217</v>
      </c>
      <c r="B5" s="1554"/>
      <c r="C5" s="1554"/>
      <c r="D5" s="1554"/>
      <c r="E5" s="1554"/>
      <c r="F5" s="1554"/>
    </row>
    <row r="6" spans="1:20" ht="18" customHeight="1">
      <c r="A6" s="1561" t="str">
        <f>TCOS!F9</f>
        <v>WHEELING POWER COMPANY</v>
      </c>
      <c r="B6" s="1554"/>
      <c r="C6" s="1554"/>
      <c r="D6" s="1554"/>
      <c r="E6" s="1554"/>
      <c r="F6" s="1554"/>
    </row>
    <row r="7" spans="1:20" ht="18" customHeight="1">
      <c r="A7" s="1565"/>
      <c r="B7" s="1565"/>
      <c r="C7" s="1565"/>
      <c r="D7" s="1565"/>
      <c r="E7" s="1565"/>
      <c r="F7" s="1565"/>
    </row>
    <row r="8" spans="1:20" ht="19.5" customHeight="1">
      <c r="A8" s="109"/>
      <c r="B8" s="110"/>
      <c r="C8" s="34" t="s">
        <v>162</v>
      </c>
      <c r="E8" s="34" t="s">
        <v>163</v>
      </c>
      <c r="F8" s="239" t="s">
        <v>164</v>
      </c>
      <c r="G8" s="239" t="s">
        <v>165</v>
      </c>
    </row>
    <row r="9" spans="1:20" ht="18">
      <c r="A9" s="188"/>
      <c r="B9" s="189"/>
      <c r="C9" s="189"/>
      <c r="D9" s="189"/>
      <c r="E9"/>
      <c r="F9" s="15"/>
      <c r="G9" s="240"/>
      <c r="H9" s="37"/>
      <c r="I9" s="37"/>
      <c r="J9" s="37"/>
      <c r="K9" s="37"/>
      <c r="L9" s="37"/>
      <c r="M9" s="37"/>
      <c r="N9" s="37"/>
      <c r="O9" s="37"/>
      <c r="P9" s="37"/>
      <c r="Q9" s="37"/>
      <c r="R9" s="37"/>
      <c r="S9" s="37"/>
      <c r="T9" s="37"/>
    </row>
    <row r="10" spans="1:20" ht="18">
      <c r="A10" s="188" t="s">
        <v>169</v>
      </c>
      <c r="B10" s="189"/>
      <c r="C10" s="189"/>
      <c r="D10" s="189"/>
      <c r="E10" s="190" t="s">
        <v>118</v>
      </c>
      <c r="F10" s="241" t="s">
        <v>76</v>
      </c>
      <c r="G10" s="242"/>
    </row>
    <row r="11" spans="1:20" ht="18">
      <c r="A11" s="192" t="s">
        <v>117</v>
      </c>
      <c r="B11" s="243"/>
      <c r="C11" s="192" t="s">
        <v>30</v>
      </c>
      <c r="D11" s="1079"/>
      <c r="E11" s="193" t="s">
        <v>183</v>
      </c>
      <c r="F11" s="192" t="s">
        <v>77</v>
      </c>
      <c r="G11" s="193" t="s">
        <v>78</v>
      </c>
      <c r="H11" s="1079"/>
      <c r="I11" s="1079"/>
    </row>
    <row r="12" spans="1:20" ht="18">
      <c r="A12" s="111"/>
      <c r="B12" s="110"/>
      <c r="C12" s="106"/>
      <c r="D12" s="106"/>
      <c r="E12" s="106"/>
      <c r="F12" s="241"/>
      <c r="G12" s="244"/>
      <c r="H12" s="245"/>
      <c r="I12" s="1080"/>
    </row>
    <row r="13" spans="1:20" ht="18">
      <c r="A13" s="109"/>
      <c r="B13" s="110"/>
      <c r="C13" s="110"/>
      <c r="D13" s="110"/>
      <c r="E13" s="112"/>
      <c r="F13" s="106"/>
    </row>
    <row r="14" spans="1:20" ht="19.5">
      <c r="A14" s="109">
        <v>1</v>
      </c>
      <c r="B14" s="110"/>
      <c r="C14" s="113" t="s">
        <v>323</v>
      </c>
      <c r="D14" s="110"/>
      <c r="E14" s="120"/>
      <c r="F14" s="108"/>
    </row>
    <row r="15" spans="1:20" ht="19.5">
      <c r="A15" s="109">
        <f>+A14+1</f>
        <v>2</v>
      </c>
      <c r="B15" s="110"/>
      <c r="C15" s="105" t="s">
        <v>307</v>
      </c>
      <c r="D15"/>
      <c r="E15" s="253">
        <f>SUM(F16:F17)</f>
        <v>506</v>
      </c>
      <c r="F15" s="120"/>
      <c r="G15" s="245"/>
      <c r="H15" s="245"/>
    </row>
    <row r="16" spans="1:20" ht="19.5">
      <c r="A16" s="109"/>
      <c r="B16" s="110"/>
      <c r="C16" s="115"/>
      <c r="D16"/>
      <c r="E16" s="252"/>
      <c r="F16" s="1275">
        <v>-236</v>
      </c>
      <c r="G16" s="852" t="s">
        <v>1177</v>
      </c>
      <c r="H16" s="245"/>
    </row>
    <row r="17" spans="1:9" ht="19.5">
      <c r="A17" s="109"/>
      <c r="B17" s="110"/>
      <c r="C17" s="115"/>
      <c r="D17"/>
      <c r="E17" s="252"/>
      <c r="F17" s="1275">
        <v>742</v>
      </c>
      <c r="G17" s="852" t="s">
        <v>1178</v>
      </c>
      <c r="H17" s="245"/>
    </row>
    <row r="18" spans="1:9" ht="19.5">
      <c r="A18" s="109"/>
      <c r="B18" s="110"/>
      <c r="C18" s="115"/>
      <c r="D18"/>
      <c r="E18" s="252"/>
      <c r="H18" s="245"/>
    </row>
    <row r="19" spans="1:9" ht="18" customHeight="1">
      <c r="A19" s="109"/>
      <c r="B19" s="110"/>
      <c r="C19" s="115"/>
      <c r="D19"/>
      <c r="E19" s="252"/>
      <c r="H19" s="245"/>
    </row>
    <row r="20" spans="1:9" ht="18" customHeight="1">
      <c r="A20" s="109"/>
      <c r="B20" s="110"/>
      <c r="C20" s="115"/>
      <c r="D20"/>
      <c r="E20" s="252"/>
      <c r="F20" s="851"/>
      <c r="G20" s="852"/>
      <c r="H20" s="245"/>
    </row>
    <row r="21" spans="1:9" ht="18" customHeight="1">
      <c r="A21" s="109"/>
      <c r="B21" s="110"/>
      <c r="C21" s="115"/>
      <c r="D21"/>
      <c r="E21" s="252"/>
      <c r="F21" s="883"/>
      <c r="G21" s="884"/>
      <c r="H21" s="245"/>
    </row>
    <row r="22" spans="1:9" ht="18" customHeight="1">
      <c r="A22" s="109"/>
      <c r="B22" s="110"/>
      <c r="C22" s="34" t="s">
        <v>162</v>
      </c>
      <c r="D22" s="34" t="s">
        <v>163</v>
      </c>
      <c r="E22" s="239" t="s">
        <v>164</v>
      </c>
      <c r="F22" s="239" t="s">
        <v>165</v>
      </c>
      <c r="G22" s="239" t="s">
        <v>84</v>
      </c>
      <c r="H22" s="1116" t="s">
        <v>85</v>
      </c>
      <c r="I22" s="239" t="s">
        <v>86</v>
      </c>
    </row>
    <row r="23" spans="1:9" ht="58.5" customHeight="1">
      <c r="A23" s="192"/>
      <c r="B23" s="243"/>
      <c r="C23" s="1117" t="s">
        <v>749</v>
      </c>
      <c r="D23" s="1118" t="s">
        <v>667</v>
      </c>
      <c r="E23" s="1119" t="s">
        <v>747</v>
      </c>
      <c r="F23" s="1120" t="s">
        <v>748</v>
      </c>
      <c r="G23" s="1121" t="s">
        <v>78</v>
      </c>
      <c r="H23" s="1119" t="s">
        <v>816</v>
      </c>
      <c r="I23" s="1120" t="s">
        <v>746</v>
      </c>
    </row>
    <row r="24" spans="1:9" ht="19.5">
      <c r="A24" s="109"/>
      <c r="B24" s="110"/>
      <c r="C24" s="295"/>
      <c r="D24" s="4"/>
      <c r="E24" s="252"/>
      <c r="F24" s="253"/>
      <c r="G24" s="1065"/>
      <c r="H24" s="245"/>
      <c r="I24" s="245"/>
    </row>
    <row r="25" spans="1:9" ht="39">
      <c r="A25" s="1063">
        <f>+A15+1</f>
        <v>3</v>
      </c>
      <c r="B25" s="1064"/>
      <c r="C25" s="1115" t="s">
        <v>745</v>
      </c>
      <c r="D25" s="1122"/>
      <c r="E25" s="1123">
        <f>E27+E33+E44+E50</f>
        <v>5982973</v>
      </c>
      <c r="F25" s="1124"/>
      <c r="G25" s="1081"/>
      <c r="H25" s="1125"/>
      <c r="I25" s="1123">
        <f>I27+I33+I44+I50</f>
        <v>1766921.4771488551</v>
      </c>
    </row>
    <row r="26" spans="1:9" ht="19.5">
      <c r="A26" s="109"/>
      <c r="B26" s="110"/>
      <c r="C26" s="113"/>
      <c r="D26"/>
      <c r="E26" s="252"/>
      <c r="F26" s="247"/>
      <c r="G26" s="1065"/>
      <c r="H26" s="1066"/>
      <c r="I26" s="1067"/>
    </row>
    <row r="27" spans="1:9" ht="19.5">
      <c r="A27" s="109">
        <f>+A25+1</f>
        <v>4</v>
      </c>
      <c r="B27" s="110"/>
      <c r="C27" s="1068" t="s">
        <v>594</v>
      </c>
      <c r="D27"/>
      <c r="E27" s="253">
        <f>SUM(F28:F32)</f>
        <v>5982973</v>
      </c>
      <c r="F27" s="247"/>
      <c r="G27" s="246"/>
      <c r="H27" s="248"/>
      <c r="I27" s="1062">
        <f>SUM(I28:I32)</f>
        <v>1766921.4771488551</v>
      </c>
    </row>
    <row r="28" spans="1:9" ht="19.5">
      <c r="A28" s="109"/>
      <c r="B28" s="110"/>
      <c r="C28" s="1068"/>
      <c r="D28" s="1291">
        <v>2020</v>
      </c>
      <c r="E28" s="253"/>
      <c r="F28" s="1275">
        <v>2958539</v>
      </c>
      <c r="G28" s="852" t="s">
        <v>1179</v>
      </c>
      <c r="H28" s="1060">
        <v>0.28534178995982584</v>
      </c>
      <c r="I28" s="1130">
        <f>+F28*H28</f>
        <v>844194.81392595323</v>
      </c>
    </row>
    <row r="29" spans="1:9" ht="19.5">
      <c r="A29" s="109"/>
      <c r="B29" s="110"/>
      <c r="C29" s="1068"/>
      <c r="D29" s="1291">
        <v>2021</v>
      </c>
      <c r="E29" s="253"/>
      <c r="F29" s="1275">
        <v>2997823</v>
      </c>
      <c r="G29" s="852" t="s">
        <v>1180</v>
      </c>
      <c r="H29" s="1060">
        <v>0.30505991331730997</v>
      </c>
      <c r="I29" s="1130">
        <f>+F29*H29</f>
        <v>914515.62452063814</v>
      </c>
    </row>
    <row r="30" spans="1:9" ht="19.5">
      <c r="A30" s="109"/>
      <c r="B30" s="110"/>
      <c r="C30" s="1068"/>
      <c r="D30" s="1291">
        <v>2021</v>
      </c>
      <c r="E30" s="253"/>
      <c r="F30" s="1275">
        <v>14011</v>
      </c>
      <c r="G30" s="852" t="s">
        <v>1180</v>
      </c>
      <c r="H30" s="1060">
        <v>0.30505991331730997</v>
      </c>
      <c r="I30" s="1130">
        <f>+F30*H30</f>
        <v>4274.1944454888298</v>
      </c>
    </row>
    <row r="31" spans="1:9" ht="19.5">
      <c r="A31" s="109"/>
      <c r="B31" s="110"/>
      <c r="C31" s="1068"/>
      <c r="D31" s="1291">
        <v>2022</v>
      </c>
      <c r="E31" s="253"/>
      <c r="F31" s="1275">
        <v>12600</v>
      </c>
      <c r="G31" s="852"/>
      <c r="H31" s="1060">
        <f>'WS H Other Taxes'!G57</f>
        <v>0.31244795688689758</v>
      </c>
      <c r="I31" s="1130">
        <f t="shared" ref="I31:I42" si="0">F31*H31</f>
        <v>3936.8442567749094</v>
      </c>
    </row>
    <row r="32" spans="1:9" ht="19.5">
      <c r="A32" s="109"/>
      <c r="B32" s="110"/>
      <c r="C32" s="1068"/>
      <c r="D32" s="851"/>
      <c r="E32" s="253"/>
      <c r="F32" s="851"/>
      <c r="G32" s="852"/>
      <c r="H32" s="1060"/>
      <c r="I32" s="1130">
        <f t="shared" si="0"/>
        <v>0</v>
      </c>
    </row>
    <row r="33" spans="1:9" ht="19.5">
      <c r="A33" s="109">
        <f>+A27+1</f>
        <v>5</v>
      </c>
      <c r="B33" s="110"/>
      <c r="C33" s="1068" t="s">
        <v>890</v>
      </c>
      <c r="D33"/>
      <c r="E33" s="253">
        <f>SUM(F34:F40)</f>
        <v>0</v>
      </c>
      <c r="F33" s="154"/>
      <c r="G33" s="246"/>
      <c r="H33" s="245"/>
      <c r="I33" s="1131">
        <f>SUM(I34:I42)</f>
        <v>0</v>
      </c>
    </row>
    <row r="34" spans="1:9" ht="19.5">
      <c r="A34" s="109"/>
      <c r="B34" s="110"/>
      <c r="C34" s="1068"/>
      <c r="D34" s="851"/>
      <c r="E34" s="253"/>
      <c r="F34" s="851">
        <v>0</v>
      </c>
      <c r="G34" s="852"/>
      <c r="H34" s="1061">
        <v>0</v>
      </c>
      <c r="I34" s="1130">
        <f>F34*H34</f>
        <v>0</v>
      </c>
    </row>
    <row r="35" spans="1:9" ht="19.5">
      <c r="A35" s="109"/>
      <c r="B35" s="110"/>
      <c r="C35" s="1068"/>
      <c r="D35" s="851"/>
      <c r="E35" s="253"/>
      <c r="F35" s="851"/>
      <c r="G35" s="852"/>
      <c r="H35" s="852"/>
      <c r="I35" s="1130">
        <f t="shared" si="0"/>
        <v>0</v>
      </c>
    </row>
    <row r="36" spans="1:9" ht="19.5">
      <c r="A36" s="109"/>
      <c r="B36" s="110"/>
      <c r="C36" s="1068"/>
      <c r="D36" s="851"/>
      <c r="E36" s="253"/>
      <c r="F36" s="851"/>
      <c r="G36" s="852"/>
      <c r="H36" s="852"/>
      <c r="I36" s="1130">
        <f t="shared" si="0"/>
        <v>0</v>
      </c>
    </row>
    <row r="37" spans="1:9" ht="19.5">
      <c r="A37" s="109"/>
      <c r="B37" s="110"/>
      <c r="C37" s="1068"/>
      <c r="D37" s="851"/>
      <c r="E37" s="253"/>
      <c r="F37" s="851"/>
      <c r="G37" s="852"/>
      <c r="H37" s="852"/>
      <c r="I37" s="1130">
        <f t="shared" si="0"/>
        <v>0</v>
      </c>
    </row>
    <row r="38" spans="1:9" ht="19.5">
      <c r="A38" s="109"/>
      <c r="B38" s="110"/>
      <c r="C38" s="1068"/>
      <c r="D38" s="851"/>
      <c r="E38" s="253"/>
      <c r="F38" s="851"/>
      <c r="G38" s="852"/>
      <c r="H38" s="852"/>
      <c r="I38" s="1130">
        <f t="shared" si="0"/>
        <v>0</v>
      </c>
    </row>
    <row r="39" spans="1:9" ht="19.5">
      <c r="A39" s="109"/>
      <c r="B39" s="110"/>
      <c r="C39" s="1068"/>
      <c r="D39" s="851"/>
      <c r="E39" s="253"/>
      <c r="F39" s="851"/>
      <c r="G39" s="852"/>
      <c r="H39" s="852"/>
      <c r="I39" s="1130">
        <f t="shared" si="0"/>
        <v>0</v>
      </c>
    </row>
    <row r="40" spans="1:9" ht="19.5">
      <c r="A40" s="109"/>
      <c r="B40" s="110"/>
      <c r="C40" s="1068"/>
      <c r="D40" s="851"/>
      <c r="E40" s="253"/>
      <c r="F40" s="851"/>
      <c r="G40" s="852"/>
      <c r="H40" s="852"/>
      <c r="I40" s="1130">
        <f t="shared" si="0"/>
        <v>0</v>
      </c>
    </row>
    <row r="41" spans="1:9" ht="19.5">
      <c r="A41" s="109"/>
      <c r="B41" s="110"/>
      <c r="C41" s="1068"/>
      <c r="D41" s="851"/>
      <c r="E41" s="253"/>
      <c r="F41" s="851"/>
      <c r="G41" s="852"/>
      <c r="H41" s="852"/>
      <c r="I41" s="1130">
        <f t="shared" si="0"/>
        <v>0</v>
      </c>
    </row>
    <row r="42" spans="1:9" ht="19.5">
      <c r="A42" s="109"/>
      <c r="B42" s="110"/>
      <c r="C42" s="1068"/>
      <c r="D42" s="851"/>
      <c r="E42" s="253"/>
      <c r="F42" s="851"/>
      <c r="G42" s="852"/>
      <c r="H42" s="852"/>
      <c r="I42" s="1130">
        <f t="shared" si="0"/>
        <v>0</v>
      </c>
    </row>
    <row r="43" spans="1:9" ht="19.5">
      <c r="A43" s="109"/>
      <c r="B43" s="110"/>
      <c r="C43" s="1068"/>
      <c r="D43" s="108"/>
      <c r="E43" s="253"/>
      <c r="F43" s="5"/>
      <c r="G43" s="291"/>
      <c r="H43" s="245"/>
      <c r="I43" s="245"/>
    </row>
    <row r="44" spans="1:9" ht="19.5">
      <c r="A44" s="109">
        <f>+A33+1</f>
        <v>6</v>
      </c>
      <c r="B44" s="110"/>
      <c r="C44" s="1068" t="s">
        <v>593</v>
      </c>
      <c r="D44" s="207"/>
      <c r="E44" s="253">
        <f>SUM(F45:F48)</f>
        <v>0</v>
      </c>
      <c r="F44" s="120" t="s">
        <v>114</v>
      </c>
      <c r="G44" s="291" t="s">
        <v>114</v>
      </c>
      <c r="H44" s="245"/>
      <c r="I44" s="1131">
        <f>SUM(I45:I49)</f>
        <v>0</v>
      </c>
    </row>
    <row r="45" spans="1:9" ht="19.5">
      <c r="A45" s="109"/>
      <c r="B45" s="110"/>
      <c r="C45" s="1068"/>
      <c r="D45" s="851"/>
      <c r="E45" s="253"/>
      <c r="F45" s="851"/>
      <c r="G45" s="852"/>
      <c r="H45" s="1061"/>
      <c r="I45" s="1130">
        <f>F45*H45</f>
        <v>0</v>
      </c>
    </row>
    <row r="46" spans="1:9" ht="19.5">
      <c r="A46" s="109"/>
      <c r="B46" s="110"/>
      <c r="C46" s="1068"/>
      <c r="D46" s="851"/>
      <c r="E46" s="253"/>
      <c r="F46" s="851"/>
      <c r="G46" s="852"/>
      <c r="H46" s="852"/>
      <c r="I46" s="1130">
        <f>F46*H46</f>
        <v>0</v>
      </c>
    </row>
    <row r="47" spans="1:9" ht="19.5">
      <c r="A47" s="109"/>
      <c r="B47" s="110"/>
      <c r="C47" s="1068"/>
      <c r="D47" s="851"/>
      <c r="E47" s="253"/>
      <c r="F47" s="851"/>
      <c r="G47" s="852"/>
      <c r="H47" s="852"/>
      <c r="I47" s="1130">
        <f>F47*H47</f>
        <v>0</v>
      </c>
    </row>
    <row r="48" spans="1:9" ht="19.5">
      <c r="A48" s="109"/>
      <c r="B48" s="110"/>
      <c r="C48" s="1068"/>
      <c r="D48" s="851"/>
      <c r="E48" s="253"/>
      <c r="F48" s="851"/>
      <c r="G48" s="852"/>
      <c r="H48" s="852"/>
      <c r="I48" s="1130">
        <f>F48*H48</f>
        <v>0</v>
      </c>
    </row>
    <row r="49" spans="1:9" ht="19.5">
      <c r="A49" s="109"/>
      <c r="B49" s="110"/>
      <c r="C49" s="1068"/>
      <c r="D49" s="851"/>
      <c r="E49" s="253"/>
      <c r="F49" s="851"/>
      <c r="G49" s="852"/>
      <c r="H49" s="852"/>
      <c r="I49" s="1130">
        <f>F49*H49</f>
        <v>0</v>
      </c>
    </row>
    <row r="50" spans="1:9" ht="19.5">
      <c r="A50" s="109"/>
      <c r="B50" s="110"/>
      <c r="C50" s="1068"/>
      <c r="D50" s="207"/>
      <c r="E50" s="253">
        <f>SUM(F51:F53)</f>
        <v>0</v>
      </c>
      <c r="F50" s="290"/>
      <c r="G50" s="291"/>
      <c r="H50" s="245"/>
      <c r="I50" s="1131">
        <f>SUM(I51:I53)</f>
        <v>0</v>
      </c>
    </row>
    <row r="51" spans="1:9" ht="19.5">
      <c r="A51" s="109">
        <f>A44+1</f>
        <v>7</v>
      </c>
      <c r="B51" s="110"/>
      <c r="C51" s="1068" t="s">
        <v>462</v>
      </c>
      <c r="D51" s="851"/>
      <c r="E51" s="253"/>
      <c r="F51" s="851"/>
      <c r="G51" s="852"/>
      <c r="H51" s="852"/>
      <c r="I51" s="1130">
        <f>F51*H51</f>
        <v>0</v>
      </c>
    </row>
    <row r="52" spans="1:9" ht="19.5">
      <c r="A52" s="109"/>
      <c r="B52" s="110"/>
      <c r="C52" s="108"/>
      <c r="D52" s="851"/>
      <c r="E52" s="253"/>
      <c r="F52" s="851"/>
      <c r="G52" s="852"/>
      <c r="H52" s="852"/>
      <c r="I52" s="1130">
        <f>F52*H52</f>
        <v>0</v>
      </c>
    </row>
    <row r="53" spans="1:9" ht="19.5">
      <c r="A53" s="109"/>
      <c r="B53" s="110"/>
      <c r="C53" s="108"/>
      <c r="D53" s="851"/>
      <c r="E53" s="253"/>
      <c r="F53" s="851"/>
      <c r="G53" s="852"/>
      <c r="H53" s="852"/>
      <c r="I53" s="1130">
        <f>F53*H53</f>
        <v>0</v>
      </c>
    </row>
    <row r="54" spans="1:9" ht="19.5">
      <c r="A54" s="1082"/>
      <c r="B54" s="1083"/>
      <c r="C54" s="1084"/>
      <c r="D54" s="1085"/>
      <c r="E54" s="1086"/>
      <c r="F54" s="1085"/>
      <c r="G54" s="1087"/>
      <c r="H54" s="1087"/>
      <c r="I54" s="1088"/>
    </row>
    <row r="55" spans="1:9" ht="19.5">
      <c r="A55" s="109"/>
      <c r="B55" s="110"/>
      <c r="C55" s="108"/>
      <c r="D55" s="207"/>
      <c r="E55" s="253"/>
      <c r="F55" s="290"/>
      <c r="G55" s="291"/>
      <c r="H55" s="245"/>
    </row>
    <row r="56" spans="1:9" ht="18">
      <c r="A56" s="109"/>
      <c r="B56" s="110"/>
      <c r="C56" s="34" t="s">
        <v>162</v>
      </c>
      <c r="E56" s="34" t="s">
        <v>163</v>
      </c>
      <c r="F56" s="239" t="s">
        <v>164</v>
      </c>
      <c r="G56" s="239" t="s">
        <v>165</v>
      </c>
      <c r="H56" s="245"/>
    </row>
    <row r="57" spans="1:9" ht="18">
      <c r="A57" s="188"/>
      <c r="B57" s="189"/>
      <c r="C57" s="189"/>
      <c r="D57" s="189"/>
      <c r="E57"/>
      <c r="F57" s="15"/>
      <c r="G57" s="240"/>
      <c r="H57" s="245"/>
    </row>
    <row r="58" spans="1:9" ht="18">
      <c r="A58" s="188" t="s">
        <v>169</v>
      </c>
      <c r="B58" s="189"/>
      <c r="C58" s="189"/>
      <c r="D58" s="189"/>
      <c r="E58" s="190" t="s">
        <v>118</v>
      </c>
      <c r="F58" s="241" t="s">
        <v>76</v>
      </c>
      <c r="G58" s="242"/>
      <c r="H58" s="245"/>
    </row>
    <row r="59" spans="1:9" ht="18">
      <c r="A59" s="192" t="s">
        <v>117</v>
      </c>
      <c r="B59" s="243"/>
      <c r="C59" s="192" t="s">
        <v>30</v>
      </c>
      <c r="D59" s="1079"/>
      <c r="E59" s="193" t="s">
        <v>183</v>
      </c>
      <c r="F59" s="192" t="s">
        <v>77</v>
      </c>
      <c r="G59" s="193" t="s">
        <v>78</v>
      </c>
      <c r="H59" s="245"/>
    </row>
    <row r="60" spans="1:9" ht="19.5">
      <c r="A60" s="109">
        <f>+A51+1</f>
        <v>8</v>
      </c>
      <c r="B60" s="110"/>
      <c r="C60" s="113" t="s">
        <v>325</v>
      </c>
      <c r="D60" s="110"/>
      <c r="E60" s="252"/>
      <c r="F60" s="248" t="s">
        <v>114</v>
      </c>
      <c r="G60" s="246"/>
      <c r="H60" s="245"/>
    </row>
    <row r="61" spans="1:9" ht="19.5">
      <c r="A61" s="109">
        <f>+A60+1</f>
        <v>9</v>
      </c>
      <c r="B61" s="110"/>
      <c r="C61" s="108" t="s">
        <v>321</v>
      </c>
      <c r="D61" s="110"/>
      <c r="E61" s="253">
        <f>SUM(F62)</f>
        <v>829143</v>
      </c>
      <c r="F61" s="249"/>
      <c r="G61" s="246"/>
      <c r="H61" s="245"/>
    </row>
    <row r="62" spans="1:9" ht="19.5">
      <c r="A62" s="109"/>
      <c r="B62" s="110"/>
      <c r="C62" s="108"/>
      <c r="D62" s="110"/>
      <c r="E62" s="253"/>
      <c r="F62" s="851">
        <v>829143</v>
      </c>
      <c r="G62" s="852"/>
      <c r="H62" s="245"/>
    </row>
    <row r="63" spans="1:9" ht="19.5">
      <c r="A63" s="109">
        <f>+A61+1</f>
        <v>10</v>
      </c>
      <c r="B63" s="110"/>
      <c r="C63" s="108" t="s">
        <v>314</v>
      </c>
      <c r="D63" s="110"/>
      <c r="E63" s="253">
        <f>SUM(F64)</f>
        <v>11113</v>
      </c>
      <c r="F63" s="120"/>
      <c r="G63" s="296"/>
      <c r="H63" s="245"/>
    </row>
    <row r="64" spans="1:9" ht="19.5">
      <c r="A64" s="109"/>
      <c r="B64" s="110"/>
      <c r="C64" s="108"/>
      <c r="D64" s="110"/>
      <c r="E64" s="253"/>
      <c r="F64" s="851">
        <v>11113</v>
      </c>
      <c r="G64" s="852"/>
      <c r="H64" s="245"/>
    </row>
    <row r="65" spans="1:8" ht="19.5">
      <c r="A65" s="109">
        <f>+A63+1</f>
        <v>11</v>
      </c>
      <c r="B65" s="110"/>
      <c r="C65" s="108" t="s">
        <v>315</v>
      </c>
      <c r="D65" s="110"/>
      <c r="E65" s="253">
        <f>SUM(F66:F70)</f>
        <v>31773</v>
      </c>
      <c r="F65" s="120"/>
      <c r="G65" s="246"/>
      <c r="H65" s="245"/>
    </row>
    <row r="66" spans="1:8" ht="19.5">
      <c r="A66" s="109"/>
      <c r="B66" s="110"/>
      <c r="C66" s="108"/>
      <c r="D66" s="110"/>
      <c r="E66" s="253"/>
      <c r="F66" s="851">
        <v>31757</v>
      </c>
      <c r="G66" s="852"/>
      <c r="H66" s="245"/>
    </row>
    <row r="67" spans="1:8" ht="19.5">
      <c r="A67" s="109"/>
      <c r="B67" s="110"/>
      <c r="C67" s="108"/>
      <c r="D67" s="110"/>
      <c r="E67" s="253"/>
      <c r="F67" s="851">
        <v>16</v>
      </c>
      <c r="G67" s="852"/>
      <c r="H67" s="245"/>
    </row>
    <row r="68" spans="1:8" ht="19.5">
      <c r="A68" s="109"/>
      <c r="B68" s="110"/>
      <c r="C68" s="108"/>
      <c r="D68" s="110"/>
      <c r="E68" s="253"/>
      <c r="F68" s="851"/>
      <c r="G68" s="852"/>
      <c r="H68" s="245"/>
    </row>
    <row r="69" spans="1:8" ht="19.5">
      <c r="A69" s="107"/>
      <c r="B69" s="107"/>
      <c r="C69" s="107"/>
      <c r="D69" s="110"/>
      <c r="E69" s="252"/>
      <c r="F69" s="851"/>
      <c r="G69" s="852"/>
      <c r="H69" s="245"/>
    </row>
    <row r="70" spans="1:8" ht="19.5">
      <c r="A70" s="107"/>
      <c r="B70" s="107"/>
      <c r="C70" s="107"/>
      <c r="D70" s="110"/>
      <c r="E70" s="252"/>
      <c r="F70" s="851"/>
      <c r="G70" s="852"/>
      <c r="H70" s="245"/>
    </row>
    <row r="71" spans="1:8" ht="19.5">
      <c r="A71" s="109">
        <f>A65+1</f>
        <v>12</v>
      </c>
      <c r="B71" s="110"/>
      <c r="C71" s="113" t="s">
        <v>439</v>
      </c>
      <c r="D71" s="110"/>
      <c r="E71" s="253">
        <f>SUM(F72:F72)</f>
        <v>0</v>
      </c>
      <c r="F71" s="290"/>
      <c r="G71" s="291"/>
      <c r="H71" s="245"/>
    </row>
    <row r="72" spans="1:8" ht="19.5">
      <c r="A72" s="109">
        <f>+A71+1</f>
        <v>13</v>
      </c>
      <c r="B72" s="110"/>
      <c r="C72" s="120" t="s">
        <v>440</v>
      </c>
      <c r="D72" s="207"/>
      <c r="E72" s="253"/>
      <c r="F72" s="851"/>
      <c r="G72" s="852"/>
      <c r="H72" s="245"/>
    </row>
    <row r="73" spans="1:8" ht="19.5">
      <c r="A73" s="109"/>
      <c r="B73" s="110"/>
      <c r="C73" s="105"/>
      <c r="D73" s="110"/>
      <c r="E73" s="257"/>
      <c r="F73" s="290"/>
      <c r="G73" s="105"/>
      <c r="H73" s="245"/>
    </row>
    <row r="74" spans="1:8" ht="19.5">
      <c r="A74" s="117">
        <f>+A72+1</f>
        <v>14</v>
      </c>
      <c r="B74" s="110"/>
      <c r="C74" s="113" t="s">
        <v>322</v>
      </c>
      <c r="D74" s="119"/>
      <c r="E74" s="252"/>
      <c r="F74" s="120"/>
      <c r="G74" s="105"/>
      <c r="H74" s="245"/>
    </row>
    <row r="75" spans="1:8" ht="19.5">
      <c r="A75" s="117">
        <f>A74+1</f>
        <v>15</v>
      </c>
      <c r="B75" s="118"/>
      <c r="C75" s="105" t="s">
        <v>904</v>
      </c>
      <c r="D75" s="119"/>
      <c r="E75" s="253">
        <f>SUM(F76:F78)</f>
        <v>2645242</v>
      </c>
      <c r="F75" s="120"/>
      <c r="G75" s="105"/>
      <c r="H75" s="245"/>
    </row>
    <row r="76" spans="1:8" ht="19.5">
      <c r="A76" s="117"/>
      <c r="B76" s="118"/>
      <c r="C76" s="105"/>
      <c r="D76" s="107"/>
      <c r="E76" s="257"/>
      <c r="F76" s="1275">
        <v>2645242</v>
      </c>
      <c r="G76" s="852"/>
      <c r="H76" s="245"/>
    </row>
    <row r="77" spans="1:8" ht="19.5">
      <c r="A77" s="117"/>
      <c r="B77" s="118"/>
      <c r="C77" s="105"/>
      <c r="D77" s="107"/>
      <c r="E77" s="257"/>
      <c r="F77" s="851"/>
      <c r="G77" s="852"/>
      <c r="H77" s="245"/>
    </row>
    <row r="78" spans="1:8" ht="19.5">
      <c r="A78" s="117"/>
      <c r="B78" s="118"/>
      <c r="C78" s="105"/>
      <c r="D78" s="107"/>
      <c r="E78" s="257"/>
      <c r="F78" s="851"/>
      <c r="G78" s="852"/>
      <c r="H78" s="245"/>
    </row>
    <row r="79" spans="1:8" ht="19.5">
      <c r="A79" s="109">
        <f>A75+1</f>
        <v>16</v>
      </c>
      <c r="B79" s="118"/>
      <c r="C79" s="105" t="s">
        <v>316</v>
      </c>
      <c r="D79" s="110"/>
      <c r="E79" s="253">
        <f>SUM(F80:F82)</f>
        <v>0</v>
      </c>
      <c r="F79" s="120"/>
      <c r="G79" s="105"/>
      <c r="H79" s="245"/>
    </row>
    <row r="80" spans="1:8" ht="19.5">
      <c r="A80" s="109"/>
      <c r="B80" s="118"/>
      <c r="C80" s="105"/>
      <c r="D80" s="110"/>
      <c r="E80" s="154"/>
      <c r="F80" s="1275"/>
      <c r="G80" s="852"/>
      <c r="H80" s="245"/>
    </row>
    <row r="81" spans="1:8" ht="19.5">
      <c r="A81" s="109"/>
      <c r="B81" s="118"/>
      <c r="C81" s="105"/>
      <c r="D81" s="110"/>
      <c r="E81" s="154"/>
      <c r="F81" s="851"/>
      <c r="G81" s="852"/>
      <c r="H81" s="245"/>
    </row>
    <row r="82" spans="1:8" ht="19.5">
      <c r="A82" s="109"/>
      <c r="B82" s="118"/>
      <c r="C82" s="105"/>
      <c r="D82" s="110"/>
      <c r="E82" s="154"/>
      <c r="F82" s="851"/>
      <c r="G82" s="852"/>
      <c r="H82" s="245"/>
    </row>
    <row r="83" spans="1:8" ht="19.5">
      <c r="A83" s="109">
        <f>+A79+1</f>
        <v>17</v>
      </c>
      <c r="B83" s="110"/>
      <c r="C83" s="105" t="s">
        <v>317</v>
      </c>
      <c r="D83"/>
      <c r="E83" s="253">
        <f>SUM(F84:F91)</f>
        <v>0</v>
      </c>
      <c r="H83" s="245"/>
    </row>
    <row r="84" spans="1:8" ht="19.5">
      <c r="A84" s="109"/>
      <c r="B84" s="110"/>
      <c r="C84" s="105"/>
      <c r="D84"/>
      <c r="E84" s="154"/>
      <c r="F84" s="851"/>
      <c r="G84" s="852"/>
      <c r="H84" s="245"/>
    </row>
    <row r="85" spans="1:8" ht="19.5">
      <c r="A85" s="109"/>
      <c r="B85" s="110"/>
      <c r="C85" s="105"/>
      <c r="D85"/>
      <c r="E85" s="154"/>
      <c r="F85" s="851"/>
      <c r="G85" s="852"/>
      <c r="H85" s="245"/>
    </row>
    <row r="86" spans="1:8" ht="19.5">
      <c r="A86" s="109"/>
      <c r="B86" s="110"/>
      <c r="C86" s="105"/>
      <c r="D86"/>
      <c r="E86" s="154"/>
      <c r="F86" s="851"/>
      <c r="G86" s="852"/>
      <c r="H86" s="245"/>
    </row>
    <row r="87" spans="1:8" ht="19.5">
      <c r="A87" s="109"/>
      <c r="B87" s="110"/>
      <c r="C87" s="105"/>
      <c r="D87"/>
      <c r="E87" s="154"/>
      <c r="F87" s="851"/>
      <c r="G87" s="852"/>
      <c r="H87" s="245"/>
    </row>
    <row r="88" spans="1:8" ht="19.5">
      <c r="A88" s="109"/>
      <c r="B88" s="110"/>
      <c r="C88" s="105"/>
      <c r="D88"/>
      <c r="E88" s="154"/>
      <c r="F88" s="851"/>
      <c r="G88" s="852"/>
      <c r="H88" s="245"/>
    </row>
    <row r="89" spans="1:8" ht="19.5">
      <c r="A89" s="109"/>
      <c r="B89" s="110"/>
      <c r="C89" s="105"/>
      <c r="D89"/>
      <c r="E89" s="154"/>
      <c r="F89" s="851"/>
      <c r="G89" s="852"/>
      <c r="H89" s="245"/>
    </row>
    <row r="90" spans="1:8" ht="19.5">
      <c r="A90" s="109"/>
      <c r="B90" s="110"/>
      <c r="C90" s="105"/>
      <c r="D90"/>
      <c r="E90" s="154"/>
      <c r="F90" s="851"/>
      <c r="G90" s="852"/>
      <c r="H90" s="245"/>
    </row>
    <row r="91" spans="1:8" ht="19.5">
      <c r="A91" s="109"/>
      <c r="B91" s="110"/>
      <c r="C91" s="105"/>
      <c r="D91"/>
      <c r="E91" s="154"/>
      <c r="F91" s="851"/>
      <c r="G91" s="852"/>
      <c r="H91" s="245"/>
    </row>
    <row r="92" spans="1:8" ht="19.5">
      <c r="A92" s="109"/>
      <c r="B92" s="110"/>
      <c r="C92" s="105"/>
      <c r="D92"/>
      <c r="E92" s="154"/>
      <c r="F92" s="120"/>
      <c r="G92" s="105"/>
      <c r="H92" s="245"/>
    </row>
    <row r="93" spans="1:8" ht="19.5">
      <c r="A93" s="109">
        <f>+A83+1</f>
        <v>18</v>
      </c>
      <c r="B93" s="110"/>
      <c r="C93" s="105" t="s">
        <v>318</v>
      </c>
      <c r="D93"/>
      <c r="E93" s="253">
        <f>SUM(F94:F99)</f>
        <v>0</v>
      </c>
      <c r="F93" s="120"/>
      <c r="G93" s="105"/>
      <c r="H93" s="245"/>
    </row>
    <row r="94" spans="1:8" ht="19.5">
      <c r="A94" s="109"/>
      <c r="B94" s="110"/>
      <c r="C94" s="105"/>
      <c r="D94"/>
      <c r="E94" s="154"/>
      <c r="F94" s="851"/>
      <c r="G94" s="852"/>
      <c r="H94" s="245"/>
    </row>
    <row r="95" spans="1:8" ht="19.5">
      <c r="A95" s="109"/>
      <c r="B95" s="110"/>
      <c r="C95" s="105"/>
      <c r="D95"/>
      <c r="E95" s="154"/>
      <c r="F95" s="851"/>
      <c r="G95" s="852"/>
      <c r="H95" s="245"/>
    </row>
    <row r="96" spans="1:8" ht="19.5">
      <c r="A96" s="109"/>
      <c r="B96" s="110"/>
      <c r="C96" s="105"/>
      <c r="D96"/>
      <c r="E96" s="154"/>
      <c r="F96" s="851"/>
      <c r="G96" s="852"/>
      <c r="H96" s="245"/>
    </row>
    <row r="97" spans="1:8" ht="19.5">
      <c r="A97" s="109"/>
      <c r="B97" s="110"/>
      <c r="C97" s="105"/>
      <c r="D97"/>
      <c r="E97" s="154"/>
      <c r="F97" s="851"/>
      <c r="G97" s="852"/>
      <c r="H97" s="245"/>
    </row>
    <row r="98" spans="1:8" ht="19.5">
      <c r="A98" s="109"/>
      <c r="B98" s="110"/>
      <c r="C98" s="105"/>
      <c r="D98"/>
      <c r="E98" s="154"/>
      <c r="F98" s="851"/>
      <c r="G98" s="852"/>
      <c r="H98" s="245"/>
    </row>
    <row r="99" spans="1:8" ht="19.5">
      <c r="A99" s="109"/>
      <c r="B99" s="110"/>
      <c r="C99" s="105"/>
      <c r="D99"/>
      <c r="E99" s="154"/>
      <c r="F99" s="851"/>
      <c r="G99" s="852"/>
      <c r="H99" s="245"/>
    </row>
    <row r="100" spans="1:8" ht="19.5">
      <c r="A100" s="109">
        <f>+A93+1</f>
        <v>19</v>
      </c>
      <c r="B100" s="110"/>
      <c r="C100" s="105" t="s">
        <v>319</v>
      </c>
      <c r="D100" s="110"/>
      <c r="E100" s="253">
        <f>SUM(F101:F102)</f>
        <v>0</v>
      </c>
      <c r="F100" s="120"/>
      <c r="G100" s="291"/>
      <c r="H100" s="245"/>
    </row>
    <row r="101" spans="1:8" ht="19.5">
      <c r="A101" s="109"/>
      <c r="B101" s="110"/>
      <c r="C101" s="105"/>
      <c r="D101" s="110"/>
      <c r="E101" s="253"/>
      <c r="F101" s="1275"/>
      <c r="G101" s="852"/>
      <c r="H101" s="245"/>
    </row>
    <row r="102" spans="1:8" ht="19.5">
      <c r="A102" s="109"/>
      <c r="B102" s="110"/>
      <c r="C102" s="105"/>
      <c r="D102" s="110"/>
      <c r="E102" s="257"/>
      <c r="F102" s="851"/>
      <c r="G102" s="852"/>
      <c r="H102" s="245"/>
    </row>
    <row r="103" spans="1:8" ht="19.5">
      <c r="A103" s="109">
        <f>+A100+1</f>
        <v>20</v>
      </c>
      <c r="B103" s="110"/>
      <c r="C103" s="105" t="s">
        <v>320</v>
      </c>
      <c r="D103" s="107"/>
      <c r="E103" s="253">
        <f>SUM(F104:F106)</f>
        <v>0</v>
      </c>
      <c r="G103" s="105"/>
      <c r="H103" s="245"/>
    </row>
    <row r="104" spans="1:8" ht="19.5">
      <c r="A104" s="109"/>
      <c r="B104" s="110"/>
      <c r="C104" s="105"/>
      <c r="D104" s="110"/>
      <c r="E104" s="154"/>
      <c r="F104" s="851"/>
      <c r="G104" s="852"/>
      <c r="H104" s="245"/>
    </row>
    <row r="105" spans="1:8" ht="19.5">
      <c r="A105" s="109"/>
      <c r="B105" s="110"/>
      <c r="C105" s="105"/>
      <c r="D105" s="110"/>
      <c r="E105" s="154"/>
      <c r="F105" s="851"/>
      <c r="G105" s="852"/>
      <c r="H105" s="245"/>
    </row>
    <row r="106" spans="1:8" ht="19.5">
      <c r="A106" s="109"/>
      <c r="B106" s="110"/>
      <c r="C106" s="105"/>
      <c r="D106" s="110"/>
      <c r="E106" s="154"/>
      <c r="F106" s="120"/>
      <c r="G106" s="105"/>
      <c r="H106" s="245"/>
    </row>
    <row r="107" spans="1:8" ht="19.5">
      <c r="A107" s="109">
        <f>+A103+1</f>
        <v>21</v>
      </c>
      <c r="B107" s="110"/>
      <c r="C107" s="105" t="s">
        <v>308</v>
      </c>
      <c r="D107" s="105"/>
      <c r="E107" s="253">
        <f>SUM(F108:F109)</f>
        <v>0</v>
      </c>
      <c r="F107" s="120"/>
      <c r="G107" s="105"/>
      <c r="H107" s="245"/>
    </row>
    <row r="108" spans="1:8" ht="19.5">
      <c r="A108" s="109"/>
      <c r="B108" s="110"/>
      <c r="C108" s="105"/>
      <c r="D108" s="105"/>
      <c r="E108" s="154"/>
      <c r="F108" s="851"/>
      <c r="G108" s="852"/>
      <c r="H108" s="245"/>
    </row>
    <row r="109" spans="1:8" ht="19.5">
      <c r="A109" s="109"/>
      <c r="B109" s="110"/>
      <c r="C109" s="105"/>
      <c r="D109" s="105"/>
      <c r="E109" s="154"/>
      <c r="F109" s="851"/>
      <c r="G109" s="852"/>
      <c r="H109" s="245"/>
    </row>
    <row r="110" spans="1:8" ht="19.5">
      <c r="A110" s="109">
        <f>+A107+1</f>
        <v>22</v>
      </c>
      <c r="B110" s="105"/>
      <c r="C110" s="125" t="s">
        <v>1116</v>
      </c>
      <c r="D110" s="120"/>
      <c r="E110" s="253">
        <f>SUM(F111:F113)</f>
        <v>11602197</v>
      </c>
      <c r="F110" s="250"/>
      <c r="G110" s="105"/>
      <c r="H110" s="245"/>
    </row>
    <row r="111" spans="1:8" ht="19.5">
      <c r="A111" s="109"/>
      <c r="B111" s="105"/>
      <c r="C111" s="125"/>
      <c r="D111" s="120"/>
      <c r="E111" s="253"/>
      <c r="F111" s="1275">
        <v>-6019</v>
      </c>
      <c r="G111" s="852"/>
      <c r="H111" s="245"/>
    </row>
    <row r="112" spans="1:8" ht="19.5">
      <c r="A112" s="109"/>
      <c r="B112" s="105"/>
      <c r="C112" s="125"/>
      <c r="D112" s="120"/>
      <c r="E112" s="253"/>
      <c r="F112" s="1275">
        <v>172252</v>
      </c>
      <c r="G112" s="852"/>
      <c r="H112" s="245"/>
    </row>
    <row r="113" spans="1:9" ht="19.5">
      <c r="A113" s="109"/>
      <c r="B113" s="105"/>
      <c r="C113" s="125"/>
      <c r="D113" s="120"/>
      <c r="E113" s="154"/>
      <c r="F113" s="1275">
        <v>11435964</v>
      </c>
      <c r="G113" s="852"/>
    </row>
    <row r="114" spans="1:9" ht="19.5">
      <c r="A114" s="5"/>
      <c r="B114" s="105"/>
      <c r="C114" s="228"/>
      <c r="D114"/>
      <c r="E114"/>
      <c r="F114" s="227"/>
      <c r="G114" s="251"/>
    </row>
    <row r="115" spans="1:9" ht="20.25" thickBot="1">
      <c r="A115" s="221">
        <f>+A110+1</f>
        <v>23</v>
      </c>
      <c r="B115" s="228"/>
      <c r="C115" s="105" t="s">
        <v>311</v>
      </c>
      <c r="D115"/>
      <c r="E115" s="124">
        <f>E15+E25+E61+E63+E65+E75+E79+E83+E93+E100+E103+E107+E110</f>
        <v>21102947</v>
      </c>
      <c r="F115" s="124">
        <f>SUM(F15:F113)</f>
        <v>21102947</v>
      </c>
      <c r="G115" s="105"/>
    </row>
    <row r="116" spans="1:9" ht="20.25" thickTop="1">
      <c r="A116" s="5"/>
      <c r="B116" s="228"/>
      <c r="C116" s="105" t="s">
        <v>381</v>
      </c>
      <c r="D116"/>
      <c r="E116"/>
      <c r="F116" s="250"/>
      <c r="G116" s="105"/>
      <c r="I116" s="1394"/>
    </row>
    <row r="117" spans="1:9" ht="21">
      <c r="A117" s="5"/>
      <c r="B117" s="228"/>
      <c r="C117" s="105"/>
      <c r="D117"/>
      <c r="E117" s="267"/>
      <c r="F117" s="155" t="s">
        <v>114</v>
      </c>
      <c r="G117" s="114"/>
    </row>
    <row r="118" spans="1:9" ht="20.25" customHeight="1">
      <c r="A118" s="1601" t="s">
        <v>758</v>
      </c>
      <c r="B118" s="1601"/>
      <c r="C118" s="1601"/>
      <c r="D118" s="1601"/>
      <c r="E118" s="1601"/>
      <c r="F118" s="1601"/>
      <c r="G118" s="1601"/>
    </row>
    <row r="119" spans="1:9" ht="20.25" customHeight="1">
      <c r="A119" s="1601"/>
      <c r="B119" s="1601"/>
      <c r="C119" s="1601"/>
      <c r="D119" s="1601"/>
      <c r="E119" s="1601"/>
      <c r="F119" s="1601"/>
      <c r="G119" s="1601"/>
    </row>
    <row r="120" spans="1:9" ht="20.25" customHeight="1">
      <c r="A120" s="1601"/>
      <c r="B120" s="1601"/>
      <c r="C120" s="1601"/>
      <c r="D120" s="1601"/>
      <c r="E120" s="1601"/>
      <c r="F120" s="1601"/>
      <c r="G120" s="1601"/>
    </row>
    <row r="121" spans="1:9" ht="20.25" customHeight="1">
      <c r="A121" s="1601"/>
      <c r="B121" s="1601"/>
      <c r="C121" s="1601"/>
      <c r="D121" s="1601"/>
      <c r="E121" s="1601"/>
      <c r="F121" s="1601"/>
      <c r="G121" s="1601"/>
    </row>
    <row r="122" spans="1:9" ht="20.25" customHeight="1">
      <c r="A122" s="1601"/>
      <c r="B122" s="1601"/>
      <c r="C122" s="1601"/>
      <c r="D122" s="1601"/>
      <c r="E122" s="1601"/>
      <c r="F122" s="1601"/>
      <c r="G122" s="1601"/>
    </row>
    <row r="123" spans="1:9" ht="20.25" customHeight="1">
      <c r="A123" s="1126"/>
      <c r="B123" s="1126"/>
      <c r="C123" s="1126"/>
      <c r="D123" s="1126"/>
      <c r="E123" s="1126"/>
      <c r="F123" s="1126"/>
      <c r="G123" s="1126"/>
    </row>
    <row r="124" spans="1:9" ht="30.75" customHeight="1">
      <c r="A124" s="1600" t="s">
        <v>860</v>
      </c>
      <c r="B124" s="1600"/>
      <c r="C124" s="1600"/>
      <c r="D124" s="1600"/>
      <c r="E124" s="1600"/>
      <c r="F124" s="1600"/>
      <c r="G124" s="1600"/>
    </row>
    <row r="125" spans="1:9" ht="30.75" customHeight="1">
      <c r="A125" s="1600"/>
      <c r="B125" s="1600"/>
      <c r="C125" s="1600"/>
      <c r="D125" s="1600"/>
      <c r="E125" s="1600"/>
      <c r="F125" s="1600"/>
      <c r="G125" s="1600"/>
    </row>
    <row r="126" spans="1:9" ht="19.5">
      <c r="B126" s="151"/>
      <c r="F126" s="120"/>
      <c r="G126" s="105"/>
    </row>
  </sheetData>
  <mergeCells count="7">
    <mergeCell ref="A124:G125"/>
    <mergeCell ref="A118:G122"/>
    <mergeCell ref="A7:F7"/>
    <mergeCell ref="A3:F3"/>
    <mergeCell ref="A4:F4"/>
    <mergeCell ref="A5:F5"/>
    <mergeCell ref="A6:F6"/>
  </mergeCells>
  <phoneticPr fontId="74" type="noConversion"/>
  <pageMargins left="0.82" right="1.28" top="0.68" bottom="0.37" header="0.5" footer="0.5"/>
  <pageSetup scale="29" orientation="portrait" r:id="rId1"/>
  <headerFooter alignWithMargins="0">
    <oddHeader>&amp;R&amp;"Arial,Bold"Formula Rate 
&amp;A
Page &amp;P of &amp;N</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pageSetUpPr fitToPage="1"/>
  </sheetPr>
  <dimension ref="A1:AC29"/>
  <sheetViews>
    <sheetView view="pageBreakPreview" zoomScale="60" zoomScaleNormal="100" workbookViewId="0">
      <selection activeCell="A3" sqref="A3:J3"/>
    </sheetView>
  </sheetViews>
  <sheetFormatPr defaultRowHeight="12.75"/>
  <cols>
    <col min="1" max="1" width="4.5703125" customWidth="1"/>
    <col min="3" max="3" width="13.85546875" customWidth="1"/>
    <col min="4" max="4" width="18.85546875" customWidth="1"/>
    <col min="5" max="5" width="13.140625" customWidth="1"/>
    <col min="6" max="6" width="12.5703125" customWidth="1"/>
    <col min="7" max="8" width="19.42578125" customWidth="1"/>
    <col min="9" max="9" width="18.5703125" customWidth="1"/>
    <col min="10" max="10" width="1.42578125" customWidth="1"/>
    <col min="12" max="12" width="15" bestFit="1" customWidth="1"/>
  </cols>
  <sheetData>
    <row r="1" spans="1:29" ht="15.75">
      <c r="A1" s="881" t="s">
        <v>114</v>
      </c>
    </row>
    <row r="2" spans="1:29" ht="15.75">
      <c r="A2" s="881" t="s">
        <v>114</v>
      </c>
    </row>
    <row r="3" spans="1:29" ht="18">
      <c r="A3" s="1603" t="s">
        <v>387</v>
      </c>
      <c r="B3" s="1603"/>
      <c r="C3" s="1603"/>
      <c r="D3" s="1603"/>
      <c r="E3" s="1603"/>
      <c r="F3" s="1603"/>
      <c r="G3" s="1603"/>
      <c r="H3" s="1603"/>
      <c r="I3" s="1603"/>
      <c r="J3" s="1603"/>
      <c r="K3" s="145"/>
      <c r="L3" s="145"/>
      <c r="M3" s="145"/>
    </row>
    <row r="4" spans="1:29" ht="18">
      <c r="A4" s="1602" t="str">
        <f>"Cost of Service Formula Rate Using "&amp;TCOS!L4&amp;" FF1 Balances"</f>
        <v>Cost of Service Formula Rate Using 2022 FF1 Balances</v>
      </c>
      <c r="B4" s="1602"/>
      <c r="C4" s="1602"/>
      <c r="D4" s="1602"/>
      <c r="E4" s="1602"/>
      <c r="F4" s="1602"/>
      <c r="G4" s="1602"/>
      <c r="H4" s="1602"/>
      <c r="I4" s="1602"/>
      <c r="J4" s="1602"/>
      <c r="K4" s="92"/>
      <c r="L4" s="92"/>
      <c r="M4" s="92"/>
    </row>
    <row r="5" spans="1:29" ht="18">
      <c r="A5" s="1602" t="s">
        <v>545</v>
      </c>
      <c r="B5" s="1602"/>
      <c r="C5" s="1602"/>
      <c r="D5" s="1602"/>
      <c r="E5" s="1602"/>
      <c r="F5" s="1602"/>
      <c r="G5" s="1602"/>
      <c r="H5" s="1602"/>
      <c r="I5" s="1602"/>
      <c r="J5" s="1602"/>
      <c r="K5" s="146"/>
      <c r="L5" s="146"/>
      <c r="M5" s="146"/>
    </row>
    <row r="6" spans="1:29" ht="18">
      <c r="A6" s="1597" t="str">
        <f>+TCOS!F9</f>
        <v>WHEELING POWER COMPANY</v>
      </c>
      <c r="B6" s="1597"/>
      <c r="C6" s="1597"/>
      <c r="D6" s="1597"/>
      <c r="E6" s="1597"/>
      <c r="F6" s="1597"/>
      <c r="G6" s="1597"/>
      <c r="H6" s="1597"/>
      <c r="I6" s="1597"/>
      <c r="J6" s="1597"/>
      <c r="K6" s="156"/>
      <c r="L6" s="156"/>
      <c r="M6" s="156"/>
    </row>
    <row r="8" spans="1:29" ht="18">
      <c r="A8" s="162"/>
      <c r="B8" s="97"/>
      <c r="D8" s="99"/>
      <c r="E8" s="5"/>
      <c r="F8" s="101"/>
    </row>
    <row r="9" spans="1:29" ht="18">
      <c r="C9" s="6"/>
      <c r="D9" s="99"/>
      <c r="E9" s="5"/>
      <c r="F9" s="101"/>
      <c r="Q9" s="145"/>
      <c r="R9" s="145"/>
      <c r="S9" s="145"/>
      <c r="T9" s="145"/>
      <c r="U9" s="145"/>
      <c r="V9" s="145"/>
      <c r="W9" s="145"/>
      <c r="X9" s="145"/>
      <c r="Y9" s="145"/>
      <c r="Z9" s="145"/>
      <c r="AA9" s="145"/>
      <c r="AB9" s="145"/>
      <c r="AC9" s="145"/>
    </row>
    <row r="10" spans="1:29">
      <c r="C10" s="6"/>
      <c r="D10" s="99"/>
    </row>
    <row r="11" spans="1:29">
      <c r="C11" s="6"/>
      <c r="D11" s="99"/>
    </row>
    <row r="12" spans="1:29">
      <c r="C12" s="6"/>
      <c r="D12" s="99"/>
      <c r="H12" s="100"/>
    </row>
    <row r="13" spans="1:29">
      <c r="C13" s="6"/>
      <c r="D13" s="99"/>
      <c r="H13" s="100"/>
    </row>
    <row r="14" spans="1:29">
      <c r="C14" s="6"/>
      <c r="D14" s="99"/>
      <c r="E14" s="5"/>
      <c r="H14" s="100"/>
    </row>
    <row r="15" spans="1:29">
      <c r="C15" s="6"/>
      <c r="D15" s="99"/>
      <c r="E15" s="5"/>
      <c r="H15" s="101"/>
    </row>
    <row r="16" spans="1:29">
      <c r="C16" s="6"/>
      <c r="D16" s="99"/>
      <c r="E16" s="5"/>
      <c r="H16" s="157"/>
    </row>
    <row r="18" spans="1:12" ht="18">
      <c r="A18" s="162"/>
      <c r="B18" s="18"/>
    </row>
    <row r="20" spans="1:12">
      <c r="A20" s="17"/>
      <c r="B20" s="17"/>
      <c r="C20" s="158"/>
      <c r="E20" s="158"/>
      <c r="F20" s="158"/>
      <c r="G20" s="158"/>
      <c r="H20" s="158"/>
      <c r="I20" s="158"/>
      <c r="J20" s="159"/>
    </row>
    <row r="22" spans="1:12">
      <c r="E22" s="160"/>
      <c r="F22" s="161"/>
      <c r="G22" s="161"/>
      <c r="I22" s="161"/>
      <c r="L22" s="292"/>
    </row>
    <row r="23" spans="1:12">
      <c r="E23" s="103"/>
      <c r="F23" s="161"/>
      <c r="G23" s="161"/>
      <c r="I23" s="161"/>
      <c r="L23" s="292"/>
    </row>
    <row r="24" spans="1:12">
      <c r="E24" s="103"/>
      <c r="F24" s="161"/>
      <c r="G24" s="161"/>
      <c r="I24" s="161"/>
      <c r="L24" s="292"/>
    </row>
    <row r="25" spans="1:12">
      <c r="E25" s="103"/>
      <c r="F25" s="161"/>
      <c r="G25" s="161"/>
      <c r="I25" s="161"/>
      <c r="L25" s="292"/>
    </row>
    <row r="26" spans="1:12" ht="4.3499999999999996" customHeight="1">
      <c r="D26" s="165"/>
      <c r="H26" s="163"/>
    </row>
    <row r="27" spans="1:12">
      <c r="D27" s="165"/>
    </row>
    <row r="28" spans="1:12">
      <c r="D28" s="165"/>
      <c r="H28" s="99"/>
    </row>
    <row r="29" spans="1:12">
      <c r="D29" s="165"/>
    </row>
  </sheetData>
  <mergeCells count="4">
    <mergeCell ref="A4:J4"/>
    <mergeCell ref="A3:J3"/>
    <mergeCell ref="A6:J6"/>
    <mergeCell ref="A5:J5"/>
  </mergeCells>
  <phoneticPr fontId="0" type="noConversion"/>
  <pageMargins left="0.26" right="0.61" top="1" bottom="1" header="0.75" footer="0.5"/>
  <pageSetup scale="75" orientation="portrait" r:id="rId1"/>
  <headerFooter alignWithMargins="0">
    <oddHeader>&amp;R&amp;"Arial,Bold"Formula Rate 
&amp;A
Page &amp;P of &amp;N</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P170"/>
  <sheetViews>
    <sheetView view="pageBreakPreview" topLeftCell="A67" zoomScale="85" zoomScaleNormal="100" zoomScaleSheetLayoutView="85" workbookViewId="0">
      <selection activeCell="A3" sqref="A3:O3"/>
    </sheetView>
  </sheetViews>
  <sheetFormatPr defaultColWidth="8.85546875" defaultRowHeight="12.75"/>
  <cols>
    <col min="1" max="1" width="4.5703125" style="319" customWidth="1"/>
    <col min="2" max="2" width="6.5703125" style="401" customWidth="1"/>
    <col min="3" max="3" width="42" style="319" customWidth="1"/>
    <col min="4" max="4" width="17.5703125" style="413" customWidth="1"/>
    <col min="5" max="7" width="17.5703125" style="319" customWidth="1"/>
    <col min="8" max="8" width="17.5703125" style="579" customWidth="1"/>
    <col min="9" max="9" width="17.5703125" style="319" bestFit="1" customWidth="1"/>
    <col min="10" max="10" width="2.140625" style="303" customWidth="1"/>
    <col min="11" max="11" width="20.5703125" style="319" customWidth="1"/>
    <col min="12" max="14" width="17.5703125" style="319" customWidth="1"/>
    <col min="15" max="15" width="16.5703125" style="319" customWidth="1"/>
    <col min="16" max="16" width="2.140625" style="532" customWidth="1"/>
    <col min="17" max="16384" width="8.85546875" style="319"/>
  </cols>
  <sheetData>
    <row r="1" spans="1:16" ht="15.75">
      <c r="A1" s="881" t="s">
        <v>114</v>
      </c>
    </row>
    <row r="2" spans="1:16" ht="15.75">
      <c r="A2" s="881" t="s">
        <v>114</v>
      </c>
    </row>
    <row r="3" spans="1:16" ht="15">
      <c r="A3" s="1590" t="s">
        <v>387</v>
      </c>
      <c r="B3" s="1590"/>
      <c r="C3" s="1590"/>
      <c r="D3" s="1590"/>
      <c r="E3" s="1590"/>
      <c r="F3" s="1590"/>
      <c r="G3" s="1590"/>
      <c r="H3" s="1590"/>
      <c r="I3" s="1590"/>
      <c r="J3" s="1590"/>
      <c r="K3" s="1590"/>
      <c r="L3" s="1590"/>
      <c r="M3" s="1590"/>
      <c r="N3" s="1590"/>
      <c r="O3" s="1590"/>
      <c r="P3" s="578"/>
    </row>
    <row r="4" spans="1:16" ht="15">
      <c r="A4" s="1591" t="str">
        <f>"Cost of Service Formula Rate Using "&amp;TCOS!L4&amp;" FF1 Balances"</f>
        <v>Cost of Service Formula Rate Using 2022 FF1 Balances</v>
      </c>
      <c r="B4" s="1591"/>
      <c r="C4" s="1591"/>
      <c r="D4" s="1591"/>
      <c r="E4" s="1591"/>
      <c r="F4" s="1591"/>
      <c r="G4" s="1591"/>
      <c r="H4" s="1591"/>
      <c r="I4" s="1591"/>
      <c r="J4" s="1591"/>
      <c r="K4" s="1591"/>
      <c r="L4" s="1591"/>
      <c r="M4" s="1591"/>
      <c r="N4" s="1591"/>
      <c r="O4" s="1591"/>
      <c r="P4" s="578"/>
    </row>
    <row r="5" spans="1:16" ht="15">
      <c r="A5" s="1591" t="s">
        <v>467</v>
      </c>
      <c r="B5" s="1591"/>
      <c r="C5" s="1591"/>
      <c r="D5" s="1591"/>
      <c r="E5" s="1591"/>
      <c r="F5" s="1591"/>
      <c r="G5" s="1591"/>
      <c r="H5" s="1591"/>
      <c r="I5" s="1591"/>
      <c r="J5" s="1591"/>
      <c r="K5" s="1591"/>
      <c r="L5" s="1591"/>
      <c r="M5" s="1591"/>
      <c r="N5" s="1591"/>
      <c r="O5" s="1591"/>
      <c r="P5" s="578"/>
    </row>
    <row r="6" spans="1:16" ht="15">
      <c r="A6" s="1592" t="str">
        <f>TCOS!F9</f>
        <v>WHEELING POWER COMPANY</v>
      </c>
      <c r="B6" s="1592"/>
      <c r="C6" s="1592"/>
      <c r="D6" s="1592"/>
      <c r="E6" s="1592"/>
      <c r="F6" s="1592"/>
      <c r="G6" s="1592"/>
      <c r="H6" s="1592"/>
      <c r="I6" s="1592"/>
      <c r="J6" s="1592"/>
      <c r="K6" s="1592"/>
      <c r="L6" s="1592"/>
      <c r="M6" s="1592"/>
      <c r="N6" s="1592"/>
      <c r="O6" s="1592"/>
      <c r="P6" s="578"/>
    </row>
    <row r="7" spans="1:16">
      <c r="P7" s="578"/>
    </row>
    <row r="8" spans="1:16" ht="20.25">
      <c r="A8" s="580"/>
      <c r="C8" s="401"/>
      <c r="N8" s="581" t="str">
        <f>"Page "&amp;P8&amp;" of "</f>
        <v xml:space="preserve">Page 1 of </v>
      </c>
      <c r="O8" s="582">
        <f>COUNT(P$8:P$55962)</f>
        <v>1</v>
      </c>
      <c r="P8" s="583">
        <v>1</v>
      </c>
    </row>
    <row r="9" spans="1:16" ht="18">
      <c r="C9" s="584"/>
      <c r="P9" s="578"/>
    </row>
    <row r="10" spans="1:16">
      <c r="P10" s="578"/>
    </row>
    <row r="11" spans="1:16" ht="18">
      <c r="B11" s="585" t="s">
        <v>171</v>
      </c>
      <c r="C11" s="1613" t="str">
        <f>"Calculate Return and Income Taxes with "&amp;F17&amp;" basis point ROE increase for Projects Qualified for Regional Billing."</f>
        <v>Calculate Return and Income Taxes with  basis point ROE increase for Projects Qualified for Regional Billing.</v>
      </c>
      <c r="D11" s="1614"/>
      <c r="E11" s="1614"/>
      <c r="F11" s="1614"/>
      <c r="G11" s="1614"/>
      <c r="H11" s="1614"/>
      <c r="P11" s="578"/>
    </row>
    <row r="12" spans="1:16" ht="18.75" customHeight="1">
      <c r="C12" s="1614"/>
      <c r="D12" s="1614"/>
      <c r="E12" s="1614"/>
      <c r="F12" s="1614"/>
      <c r="G12" s="1614"/>
      <c r="H12" s="1614"/>
      <c r="P12" s="578"/>
    </row>
    <row r="13" spans="1:16" ht="15.75" customHeight="1">
      <c r="C13" s="519"/>
      <c r="D13" s="519"/>
      <c r="E13" s="519"/>
      <c r="F13" s="519"/>
      <c r="G13" s="519"/>
      <c r="H13" s="519"/>
      <c r="P13" s="578"/>
    </row>
    <row r="14" spans="1:16" ht="15.75">
      <c r="C14" s="586" t="str">
        <f>"A.   Determine 'R' with hypothetical "&amp;F17&amp;" basis point increase in ROE for Identified Projects"</f>
        <v>A.   Determine 'R' with hypothetical  basis point increase in ROE for Identified Projects</v>
      </c>
      <c r="P14" s="578"/>
    </row>
    <row r="15" spans="1:16">
      <c r="C15" s="401"/>
      <c r="P15" s="578"/>
    </row>
    <row r="16" spans="1:16">
      <c r="C16" s="587" t="str">
        <f>"   ROE w/o incentives  (TCOS, ln "&amp;TCOS!B257&amp;")"</f>
        <v xml:space="preserve">   ROE w/o incentives  (TCOS, ln 156)</v>
      </c>
      <c r="E16" s="588"/>
      <c r="F16" s="589">
        <f>TCOS!J257</f>
        <v>0.10349999999999999</v>
      </c>
      <c r="G16" s="588"/>
      <c r="H16" s="590"/>
      <c r="I16" s="590"/>
      <c r="J16" s="591"/>
      <c r="K16" s="590"/>
      <c r="L16" s="590"/>
      <c r="M16" s="590"/>
      <c r="N16" s="590"/>
      <c r="O16" s="590"/>
      <c r="P16" s="591"/>
    </row>
    <row r="17" spans="3:16">
      <c r="C17" s="587" t="s">
        <v>252</v>
      </c>
      <c r="E17" s="588"/>
      <c r="F17" s="853"/>
      <c r="G17" s="592"/>
      <c r="H17" s="590"/>
      <c r="I17" s="590"/>
      <c r="J17" s="591"/>
    </row>
    <row r="18" spans="3:16">
      <c r="C18" s="587" t="str">
        <f>"   ROE with additional "&amp;F17&amp;" basis point incentive"</f>
        <v xml:space="preserve">   ROE with additional  basis point incentive</v>
      </c>
      <c r="D18" s="588"/>
      <c r="E18" s="588"/>
      <c r="F18" s="593">
        <f>IF((F16+(F17/10000)&gt;0.1274),"ERROR",F16+(F17/10000))</f>
        <v>0.10349999999999999</v>
      </c>
      <c r="G18" s="594"/>
      <c r="H18" s="590"/>
      <c r="I18" s="590"/>
      <c r="J18" s="591"/>
    </row>
    <row r="19" spans="3:16">
      <c r="C19" s="587"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E19" s="588"/>
      <c r="F19" s="595"/>
      <c r="G19" s="588"/>
      <c r="H19" s="590"/>
      <c r="I19" s="590"/>
      <c r="J19" s="591"/>
    </row>
    <row r="20" spans="3:16">
      <c r="C20" s="591"/>
      <c r="D20" s="596" t="s">
        <v>146</v>
      </c>
      <c r="E20" s="596" t="s">
        <v>145</v>
      </c>
      <c r="F20" s="597" t="s">
        <v>253</v>
      </c>
      <c r="G20" s="588"/>
      <c r="H20" s="590"/>
      <c r="I20" s="590"/>
      <c r="J20" s="591"/>
    </row>
    <row r="21" spans="3:16" ht="13.5" thickBot="1">
      <c r="C21" s="598" t="s">
        <v>257</v>
      </c>
      <c r="D21" s="599">
        <f>TCOS!H255</f>
        <v>0.48130429883536185</v>
      </c>
      <c r="E21" s="600">
        <f>TCOS!J255</f>
        <v>3.6138331285962548E-2</v>
      </c>
      <c r="F21" s="601">
        <f>E21*D21</f>
        <v>1.7393534200670226E-2</v>
      </c>
      <c r="G21" s="588"/>
      <c r="H21" s="590"/>
      <c r="I21" s="602"/>
      <c r="J21" s="603"/>
      <c r="K21" s="527"/>
      <c r="L21" s="527"/>
      <c r="M21" s="527"/>
      <c r="N21" s="527"/>
      <c r="O21" s="527"/>
    </row>
    <row r="22" spans="3:16">
      <c r="C22" s="598" t="s">
        <v>258</v>
      </c>
      <c r="D22" s="599">
        <f>TCOS!H256</f>
        <v>0</v>
      </c>
      <c r="E22" s="600">
        <f>TCOS!J256</f>
        <v>0</v>
      </c>
      <c r="F22" s="601">
        <f>E22*D22</f>
        <v>0</v>
      </c>
      <c r="G22" s="604"/>
      <c r="H22" s="604"/>
      <c r="I22" s="605"/>
      <c r="J22" s="606"/>
      <c r="K22" s="1607" t="s">
        <v>450</v>
      </c>
      <c r="L22" s="1608"/>
      <c r="M22" s="1608"/>
      <c r="N22" s="1608"/>
      <c r="O22" s="1609"/>
      <c r="P22" s="606"/>
    </row>
    <row r="23" spans="3:16">
      <c r="C23" s="607" t="s">
        <v>244</v>
      </c>
      <c r="D23" s="599">
        <f>TCOS!H257</f>
        <v>0.51869570116463826</v>
      </c>
      <c r="E23" s="600">
        <f>+F18</f>
        <v>0.10349999999999999</v>
      </c>
      <c r="F23" s="608">
        <f>E23*D23</f>
        <v>5.3685005070540054E-2</v>
      </c>
      <c r="G23" s="604"/>
      <c r="H23" s="604"/>
      <c r="I23" s="605"/>
      <c r="J23" s="606"/>
      <c r="K23" s="1610"/>
      <c r="L23" s="1611"/>
      <c r="M23" s="1611"/>
      <c r="N23" s="1611"/>
      <c r="O23" s="1612"/>
      <c r="P23" s="606"/>
    </row>
    <row r="24" spans="3:16">
      <c r="C24" s="609"/>
      <c r="D24" s="319"/>
      <c r="E24" s="610" t="s">
        <v>260</v>
      </c>
      <c r="F24" s="601">
        <f>SUM(F21:F23)</f>
        <v>7.1078539271210273E-2</v>
      </c>
      <c r="G24" s="604"/>
      <c r="H24" s="604"/>
      <c r="I24" s="605"/>
      <c r="J24" s="606"/>
      <c r="K24" s="611"/>
      <c r="L24" s="612"/>
      <c r="M24" s="613" t="s">
        <v>254</v>
      </c>
      <c r="N24" s="613" t="s">
        <v>255</v>
      </c>
      <c r="O24" s="614" t="s">
        <v>256</v>
      </c>
      <c r="P24" s="606"/>
    </row>
    <row r="25" spans="3:16">
      <c r="C25" s="532"/>
      <c r="D25" s="615"/>
      <c r="E25" s="615"/>
      <c r="F25" s="604"/>
      <c r="G25" s="604"/>
      <c r="H25" s="604"/>
      <c r="I25" s="604"/>
      <c r="J25" s="616"/>
      <c r="K25" s="617"/>
      <c r="L25" s="618"/>
      <c r="M25" s="618"/>
      <c r="N25" s="618"/>
      <c r="O25" s="619"/>
      <c r="P25" s="616"/>
    </row>
    <row r="26" spans="3:16" ht="16.5" thickBot="1">
      <c r="C26" s="586" t="str">
        <f>"B.   Determine Return using 'R' with hypothetical "&amp;F17&amp;" basis point ROE increase for Identified Projects."</f>
        <v>B.   Determine Return using 'R' with hypothetical  basis point ROE increase for Identified Projects.</v>
      </c>
      <c r="D26" s="615"/>
      <c r="E26" s="615"/>
      <c r="F26" s="620"/>
      <c r="G26" s="604"/>
      <c r="H26" s="588"/>
      <c r="I26" s="604"/>
      <c r="J26" s="616"/>
      <c r="K26" s="621" t="s">
        <v>261</v>
      </c>
      <c r="L26" s="622">
        <f>TCOS!L4</f>
        <v>2022</v>
      </c>
      <c r="M26" s="854">
        <f>N87</f>
        <v>120502.77817296157</v>
      </c>
      <c r="N26" s="854">
        <f>N88</f>
        <v>120502.77817296157</v>
      </c>
      <c r="O26" s="623">
        <f>+N26-M26</f>
        <v>0</v>
      </c>
      <c r="P26" s="616"/>
    </row>
    <row r="27" spans="3:16">
      <c r="C27" s="591"/>
      <c r="D27" s="615"/>
      <c r="E27" s="615"/>
      <c r="F27" s="616"/>
      <c r="G27" s="616"/>
      <c r="H27" s="616"/>
      <c r="I27" s="616"/>
      <c r="J27" s="616"/>
      <c r="K27" s="624"/>
      <c r="L27" s="624"/>
      <c r="M27" s="624"/>
      <c r="N27" s="624"/>
      <c r="O27" s="624"/>
      <c r="P27" s="616"/>
    </row>
    <row r="28" spans="3:16">
      <c r="C28" s="625" t="str">
        <f>"   Rate Base  (TCOS, ln "&amp;TCOS!B125&amp;")"</f>
        <v xml:space="preserve">   Rate Base  (TCOS, ln 68)</v>
      </c>
      <c r="D28" s="588"/>
      <c r="F28" s="626">
        <f>TCOS!L125</f>
        <v>100248517.2695417</v>
      </c>
      <c r="G28" s="616"/>
      <c r="H28" s="616"/>
      <c r="I28" s="616"/>
      <c r="J28" s="616"/>
      <c r="K28" s="624"/>
      <c r="L28" s="624"/>
      <c r="M28" s="624"/>
      <c r="N28" s="624"/>
      <c r="O28" s="627"/>
      <c r="P28" s="616"/>
    </row>
    <row r="29" spans="3:16">
      <c r="C29" s="591" t="s">
        <v>473</v>
      </c>
      <c r="D29" s="628"/>
      <c r="F29" s="601">
        <f>F24</f>
        <v>7.1078539271210273E-2</v>
      </c>
      <c r="G29" s="616"/>
      <c r="H29" s="616"/>
      <c r="I29" s="616"/>
      <c r="J29" s="616"/>
      <c r="K29" s="616"/>
      <c r="L29" s="616"/>
      <c r="M29" s="616"/>
      <c r="N29" s="616"/>
      <c r="O29" s="616"/>
      <c r="P29" s="616"/>
    </row>
    <row r="30" spans="3:16">
      <c r="C30" s="629" t="s">
        <v>262</v>
      </c>
      <c r="D30" s="629"/>
      <c r="F30" s="605">
        <f>F28*F29</f>
        <v>7125518.1716237208</v>
      </c>
      <c r="G30" s="616"/>
      <c r="H30" s="616"/>
      <c r="I30" s="606"/>
      <c r="J30" s="606"/>
      <c r="K30" s="606"/>
      <c r="L30" s="606"/>
      <c r="M30" s="606"/>
      <c r="N30" s="606"/>
      <c r="O30" s="616"/>
      <c r="P30" s="606"/>
    </row>
    <row r="31" spans="3:16">
      <c r="C31" s="630"/>
      <c r="D31" s="590"/>
      <c r="E31" s="590"/>
      <c r="F31" s="616"/>
      <c r="G31" s="616"/>
      <c r="H31" s="616"/>
      <c r="I31" s="606"/>
      <c r="J31" s="606"/>
      <c r="K31" s="606"/>
      <c r="L31" s="606"/>
      <c r="M31" s="606"/>
      <c r="N31" s="606"/>
      <c r="O31" s="616"/>
      <c r="P31" s="606"/>
    </row>
    <row r="32" spans="3:16" ht="15.75">
      <c r="C32" s="586" t="str">
        <f>"C.   Determine Income Taxes using Return with hypothetical "&amp;F17&amp;" basis point ROE increase for Identified Projects."</f>
        <v>C.   Determine Income Taxes using Return with hypothetical  basis point ROE increase for Identified Projects.</v>
      </c>
      <c r="D32" s="631"/>
      <c r="E32" s="631"/>
      <c r="F32" s="632"/>
      <c r="G32" s="632"/>
      <c r="H32" s="632"/>
      <c r="I32" s="633"/>
      <c r="J32" s="633"/>
      <c r="K32" s="633"/>
      <c r="L32" s="633"/>
      <c r="M32" s="633"/>
      <c r="N32" s="633"/>
      <c r="O32" s="632"/>
      <c r="P32" s="633"/>
    </row>
    <row r="33" spans="2:16">
      <c r="C33" s="609"/>
      <c r="D33" s="590"/>
      <c r="E33" s="590"/>
      <c r="F33" s="616"/>
      <c r="G33" s="616"/>
      <c r="H33" s="616"/>
      <c r="I33" s="606"/>
      <c r="J33" s="606"/>
      <c r="K33" s="606"/>
      <c r="L33" s="606"/>
      <c r="M33" s="606"/>
      <c r="N33" s="606"/>
      <c r="O33" s="616"/>
      <c r="P33" s="606"/>
    </row>
    <row r="34" spans="2:16">
      <c r="C34" s="591" t="s">
        <v>263</v>
      </c>
      <c r="D34" s="610"/>
      <c r="F34" s="634">
        <f>F30</f>
        <v>7125518.1716237208</v>
      </c>
      <c r="G34" s="616"/>
      <c r="H34" s="616"/>
      <c r="I34" s="616"/>
      <c r="J34" s="616"/>
      <c r="K34" s="616"/>
      <c r="L34" s="616"/>
      <c r="M34" s="616"/>
      <c r="N34" s="616"/>
      <c r="O34" s="616"/>
      <c r="P34" s="616"/>
    </row>
    <row r="35" spans="2:16">
      <c r="C35" s="625" t="str">
        <f>"   Effective Tax Rate  (TCOS, ln "&amp;TCOS!B190&amp;")"</f>
        <v xml:space="preserve">   Effective Tax Rate  (TCOS, ln 114)</v>
      </c>
      <c r="D35" s="553"/>
      <c r="F35" s="635">
        <f>TCOS!G190</f>
        <v>0.26575399290574281</v>
      </c>
      <c r="G35" s="532"/>
      <c r="H35" s="636"/>
      <c r="I35" s="532"/>
      <c r="J35" s="578"/>
      <c r="K35" s="532"/>
      <c r="L35" s="532"/>
      <c r="M35" s="532"/>
      <c r="N35" s="532"/>
      <c r="O35" s="532"/>
      <c r="P35" s="578"/>
    </row>
    <row r="36" spans="2:16">
      <c r="C36" s="630" t="s">
        <v>264</v>
      </c>
      <c r="D36" s="553"/>
      <c r="F36" s="637">
        <f>F34*F35</f>
        <v>1893634.9056314318</v>
      </c>
      <c r="G36" s="532"/>
      <c r="H36" s="636"/>
      <c r="I36" s="532"/>
      <c r="J36" s="578"/>
      <c r="K36" s="532"/>
      <c r="L36" s="532"/>
      <c r="M36" s="532"/>
      <c r="N36" s="532"/>
      <c r="O36" s="532"/>
      <c r="P36" s="578"/>
    </row>
    <row r="37" spans="2:16" ht="15">
      <c r="C37" s="609" t="s">
        <v>302</v>
      </c>
      <c r="D37" s="465"/>
      <c r="F37" s="638">
        <f>TCOS!L199</f>
        <v>0</v>
      </c>
      <c r="G37" s="465"/>
      <c r="H37" s="465"/>
      <c r="I37" s="465"/>
      <c r="J37" s="465"/>
      <c r="K37" s="465"/>
      <c r="L37" s="465"/>
      <c r="M37" s="465"/>
      <c r="N37" s="465"/>
      <c r="O37" s="377"/>
      <c r="P37" s="465"/>
    </row>
    <row r="38" spans="2:16" ht="15">
      <c r="C38" s="609" t="s">
        <v>531</v>
      </c>
      <c r="D38" s="465"/>
      <c r="F38" s="638">
        <f>TCOS!L200</f>
        <v>-215104.66591704436</v>
      </c>
      <c r="G38" s="465"/>
      <c r="H38" s="465"/>
      <c r="I38" s="465"/>
      <c r="J38" s="465"/>
      <c r="K38" s="465"/>
      <c r="L38" s="465"/>
      <c r="M38" s="465"/>
      <c r="N38" s="465"/>
      <c r="O38" s="377"/>
      <c r="P38" s="465"/>
    </row>
    <row r="39" spans="2:16" ht="15">
      <c r="C39" s="609" t="s">
        <v>532</v>
      </c>
      <c r="D39" s="465"/>
      <c r="F39" s="639">
        <f>TCOS!L201</f>
        <v>-30534.810156999058</v>
      </c>
      <c r="G39" s="465"/>
      <c r="H39" s="465"/>
      <c r="I39" s="465"/>
      <c r="J39" s="465"/>
      <c r="K39" s="465"/>
      <c r="L39" s="465"/>
      <c r="M39" s="465"/>
      <c r="N39" s="465"/>
      <c r="O39" s="377"/>
      <c r="P39" s="465"/>
    </row>
    <row r="40" spans="2:16" ht="15">
      <c r="C40" s="630" t="s">
        <v>265</v>
      </c>
      <c r="D40" s="465"/>
      <c r="F40" s="638">
        <f>F36+F37+F38+F39</f>
        <v>1647995.4295573884</v>
      </c>
      <c r="G40" s="465"/>
      <c r="H40" s="465"/>
      <c r="I40" s="465"/>
      <c r="J40" s="465"/>
      <c r="K40" s="465"/>
      <c r="L40" s="465"/>
      <c r="M40" s="465"/>
      <c r="N40" s="465"/>
      <c r="O40" s="335"/>
      <c r="P40" s="465"/>
    </row>
    <row r="41" spans="2:16" ht="12.75" customHeight="1">
      <c r="C41" s="385"/>
      <c r="D41" s="465"/>
      <c r="E41" s="465"/>
      <c r="F41" s="465"/>
      <c r="G41" s="465"/>
      <c r="H41" s="465"/>
      <c r="I41" s="465"/>
      <c r="J41" s="465"/>
      <c r="K41" s="465"/>
      <c r="L41" s="465"/>
      <c r="M41" s="465"/>
      <c r="N41" s="465"/>
      <c r="O41" s="335"/>
      <c r="P41" s="465"/>
    </row>
    <row r="42" spans="2:16" ht="18.75">
      <c r="B42" s="585" t="s">
        <v>172</v>
      </c>
      <c r="C42" s="584" t="str">
        <f>"Calculate Net Plant Carrying Charge Rate (Fixed Charge Rate or FCR) with hypothetical "&amp;F17&amp;""</f>
        <v xml:space="preserve">Calculate Net Plant Carrying Charge Rate (Fixed Charge Rate or FCR) with hypothetical </v>
      </c>
      <c r="D42" s="465"/>
      <c r="E42" s="465"/>
      <c r="F42" s="465"/>
      <c r="G42" s="465"/>
      <c r="H42" s="465"/>
      <c r="I42" s="465"/>
      <c r="J42" s="465"/>
      <c r="K42" s="465"/>
      <c r="L42" s="465"/>
      <c r="M42" s="465"/>
      <c r="N42" s="465"/>
      <c r="O42" s="335"/>
      <c r="P42" s="465"/>
    </row>
    <row r="43" spans="2:16" ht="18.75" customHeight="1">
      <c r="C43" s="584" t="str">
        <f>"basis point ROE increase."</f>
        <v>basis point ROE increase.</v>
      </c>
      <c r="D43" s="465"/>
      <c r="E43" s="465"/>
      <c r="F43" s="465"/>
      <c r="G43" s="465"/>
      <c r="H43" s="465"/>
      <c r="I43" s="465"/>
      <c r="J43" s="465"/>
      <c r="K43" s="465"/>
      <c r="L43" s="465"/>
      <c r="M43" s="465"/>
      <c r="N43" s="465"/>
      <c r="O43" s="335"/>
      <c r="P43" s="465"/>
    </row>
    <row r="44" spans="2:16" ht="12.75" customHeight="1">
      <c r="C44" s="584"/>
      <c r="D44" s="465"/>
      <c r="E44" s="465"/>
      <c r="F44" s="465"/>
      <c r="G44" s="465"/>
      <c r="H44" s="465"/>
      <c r="I44" s="465"/>
      <c r="J44" s="465"/>
      <c r="K44" s="465"/>
      <c r="L44" s="465"/>
      <c r="M44" s="465"/>
      <c r="N44" s="465"/>
      <c r="O44" s="335"/>
      <c r="P44" s="465"/>
    </row>
    <row r="45" spans="2:16" ht="15.75">
      <c r="C45" s="586" t="s">
        <v>464</v>
      </c>
      <c r="D45" s="465"/>
      <c r="E45" s="465"/>
      <c r="F45" s="464"/>
      <c r="G45" s="465"/>
      <c r="H45" s="465"/>
      <c r="I45" s="465"/>
      <c r="J45" s="465"/>
      <c r="K45" s="465"/>
      <c r="L45" s="465"/>
      <c r="M45" s="465"/>
      <c r="N45" s="465"/>
      <c r="O45" s="335"/>
      <c r="P45" s="465"/>
    </row>
    <row r="46" spans="2:16">
      <c r="B46" s="566"/>
      <c r="C46" s="587"/>
      <c r="D46" s="640"/>
      <c r="E46" s="640"/>
      <c r="F46" s="640"/>
      <c r="G46" s="640"/>
      <c r="H46" s="640"/>
      <c r="I46" s="640"/>
      <c r="J46" s="640"/>
      <c r="K46" s="640"/>
      <c r="L46" s="640"/>
      <c r="M46" s="640"/>
      <c r="N46" s="640"/>
      <c r="O46" s="638"/>
      <c r="P46" s="640"/>
    </row>
    <row r="47" spans="2:16" ht="12.75" customHeight="1">
      <c r="B47" s="566"/>
      <c r="C47" s="625" t="str">
        <f>"   Annual Revenue Requirement  (TCOS, ln "&amp;TCOS!B13&amp;")"</f>
        <v xml:space="preserve">   Annual Revenue Requirement  (TCOS, ln 1)</v>
      </c>
      <c r="D47" s="640"/>
      <c r="E47" s="640"/>
      <c r="G47" s="638">
        <f>TCOS!L13</f>
        <v>15049935.749021769</v>
      </c>
      <c r="H47" s="640"/>
      <c r="I47" s="640"/>
      <c r="J47" s="640"/>
      <c r="K47" s="640"/>
      <c r="L47" s="640"/>
      <c r="M47" s="640"/>
      <c r="N47" s="640"/>
      <c r="O47" s="638"/>
      <c r="P47" s="640"/>
    </row>
    <row r="48" spans="2:16" ht="12.75" customHeight="1">
      <c r="B48" s="566"/>
      <c r="C48" s="625" t="str">
        <f>"   Lease Payments (TCOS, Ln "&amp;TCOS!B168&amp;")"</f>
        <v xml:space="preserve">   Lease Payments (TCOS, Ln 95)</v>
      </c>
      <c r="D48" s="640"/>
      <c r="E48" s="640"/>
      <c r="G48" s="638">
        <f>TCOS!L168</f>
        <v>0</v>
      </c>
      <c r="H48" s="640"/>
      <c r="I48" s="640"/>
      <c r="J48" s="640"/>
      <c r="K48" s="640"/>
      <c r="L48" s="640"/>
      <c r="M48" s="640"/>
      <c r="N48" s="640"/>
      <c r="O48" s="638"/>
      <c r="P48" s="640"/>
    </row>
    <row r="49" spans="2:16">
      <c r="B49" s="566"/>
      <c r="C49" s="625" t="str">
        <f>"   Return  (TCOS, ln "&amp;TCOS!B205&amp;")"</f>
        <v xml:space="preserve">   Return  (TCOS, ln 126)</v>
      </c>
      <c r="D49" s="640"/>
      <c r="E49" s="640"/>
      <c r="G49" s="641">
        <f>TCOS!L205</f>
        <v>7125518.1716237208</v>
      </c>
      <c r="H49" s="642"/>
      <c r="I49" s="642"/>
      <c r="J49" s="642"/>
      <c r="K49" s="642"/>
      <c r="L49" s="642"/>
      <c r="M49" s="642"/>
      <c r="N49" s="642"/>
      <c r="O49" s="638"/>
      <c r="P49" s="642"/>
    </row>
    <row r="50" spans="2:16">
      <c r="B50" s="566"/>
      <c r="C50" s="625" t="str">
        <f>"   Income Taxes  (TCOS, ln "&amp;TCOS!B203&amp;")"</f>
        <v xml:space="preserve">   Income Taxes  (TCOS, ln 125)</v>
      </c>
      <c r="D50" s="640"/>
      <c r="E50" s="640"/>
      <c r="G50" s="643">
        <f>TCOS!L203</f>
        <v>1647995.4295573884</v>
      </c>
      <c r="H50" s="640"/>
      <c r="I50" s="644"/>
      <c r="J50" s="644"/>
      <c r="K50" s="644"/>
      <c r="L50" s="644"/>
      <c r="M50" s="644"/>
      <c r="N50" s="644"/>
      <c r="O50" s="640"/>
      <c r="P50" s="644"/>
    </row>
    <row r="51" spans="2:16">
      <c r="B51" s="566"/>
      <c r="C51" s="645" t="s">
        <v>588</v>
      </c>
      <c r="D51" s="640"/>
      <c r="E51" s="640"/>
      <c r="G51" s="641">
        <f>G47-G49-G50-G48</f>
        <v>6276422.1478406591</v>
      </c>
      <c r="H51" s="640"/>
      <c r="I51" s="646"/>
      <c r="J51" s="646"/>
      <c r="K51" s="646"/>
      <c r="L51" s="646"/>
      <c r="M51" s="646"/>
      <c r="N51" s="646"/>
      <c r="O51" s="646"/>
      <c r="P51" s="646"/>
    </row>
    <row r="52" spans="2:16">
      <c r="B52" s="566"/>
      <c r="C52" s="587"/>
      <c r="D52" s="640"/>
      <c r="E52" s="640"/>
      <c r="F52" s="638"/>
      <c r="G52" s="647"/>
      <c r="H52" s="648"/>
      <c r="I52" s="648"/>
      <c r="J52" s="648"/>
      <c r="K52" s="648"/>
      <c r="L52" s="648"/>
      <c r="M52" s="648"/>
      <c r="N52" s="648"/>
      <c r="O52" s="648"/>
      <c r="P52" s="648"/>
    </row>
    <row r="53" spans="2:16" ht="15.75">
      <c r="B53" s="566"/>
      <c r="C53" s="586" t="str">
        <f>"B.   Determine Annual Revenue Requirement with hypothetical "&amp;F17&amp;" basis point increase in ROE."</f>
        <v>B.   Determine Annual Revenue Requirement with hypothetical  basis point increase in ROE.</v>
      </c>
      <c r="D53" s="649"/>
      <c r="E53" s="649"/>
      <c r="F53" s="638"/>
      <c r="G53" s="647"/>
      <c r="H53" s="648"/>
      <c r="I53" s="648"/>
      <c r="J53" s="648"/>
      <c r="K53" s="648"/>
      <c r="L53" s="648"/>
      <c r="M53" s="648"/>
      <c r="N53" s="648"/>
      <c r="O53" s="648"/>
      <c r="P53" s="648"/>
    </row>
    <row r="54" spans="2:16">
      <c r="B54" s="566"/>
      <c r="C54" s="587"/>
      <c r="D54" s="649"/>
      <c r="E54" s="649"/>
      <c r="F54" s="638"/>
      <c r="G54" s="647"/>
      <c r="H54" s="648"/>
      <c r="I54" s="648"/>
      <c r="J54" s="648"/>
      <c r="K54" s="648"/>
      <c r="L54" s="648"/>
      <c r="M54" s="648"/>
      <c r="N54" s="648"/>
      <c r="O54" s="648"/>
      <c r="P54" s="648"/>
    </row>
    <row r="55" spans="2:16">
      <c r="B55" s="566"/>
      <c r="C55" s="587" t="str">
        <f>C51</f>
        <v xml:space="preserve">   Annual Revenue Requirement, Less Lease Payments, Return and Taxes</v>
      </c>
      <c r="D55" s="649"/>
      <c r="E55" s="649"/>
      <c r="G55" s="638">
        <f>G51</f>
        <v>6276422.1478406591</v>
      </c>
      <c r="H55" s="640"/>
      <c r="I55" s="640"/>
      <c r="J55" s="640"/>
      <c r="K55" s="640"/>
      <c r="L55" s="640"/>
      <c r="M55" s="640"/>
      <c r="N55" s="640"/>
      <c r="O55" s="650"/>
      <c r="P55" s="640"/>
    </row>
    <row r="56" spans="2:16">
      <c r="B56" s="566"/>
      <c r="C56" s="591" t="s">
        <v>299</v>
      </c>
      <c r="D56" s="651"/>
      <c r="E56" s="645"/>
      <c r="G56" s="652">
        <f>F30</f>
        <v>7125518.1716237208</v>
      </c>
      <c r="H56" s="653"/>
      <c r="I56" s="645"/>
      <c r="J56" s="645"/>
      <c r="K56" s="645"/>
      <c r="L56" s="645"/>
      <c r="M56" s="645"/>
      <c r="N56" s="645"/>
      <c r="O56" s="645"/>
      <c r="P56" s="645"/>
    </row>
    <row r="57" spans="2:16" ht="12.75" customHeight="1">
      <c r="B57" s="566"/>
      <c r="C57" s="609" t="s">
        <v>266</v>
      </c>
      <c r="D57" s="640"/>
      <c r="E57" s="640"/>
      <c r="G57" s="643">
        <f>F40</f>
        <v>1647995.4295573884</v>
      </c>
      <c r="H57" s="636"/>
      <c r="I57" s="532"/>
      <c r="J57" s="578"/>
      <c r="K57" s="532"/>
      <c r="L57" s="532"/>
      <c r="M57" s="532"/>
      <c r="N57" s="532"/>
      <c r="O57" s="532"/>
      <c r="P57" s="578"/>
    </row>
    <row r="58" spans="2:16">
      <c r="B58" s="566"/>
      <c r="C58" s="645" t="str">
        <f>"   Annual Revenue Requirement, with "&amp;F17&amp;" Basis Point ROE increase"</f>
        <v xml:space="preserve">   Annual Revenue Requirement, with  Basis Point ROE increase</v>
      </c>
      <c r="D58" s="553"/>
      <c r="E58" s="532"/>
      <c r="G58" s="637">
        <f>SUM(G55:G57)</f>
        <v>15049935.749021769</v>
      </c>
      <c r="H58" s="636"/>
      <c r="I58" s="532"/>
      <c r="J58" s="578"/>
      <c r="K58" s="532"/>
      <c r="L58" s="532"/>
      <c r="M58" s="532"/>
      <c r="N58" s="532"/>
      <c r="O58" s="532"/>
      <c r="P58" s="578"/>
    </row>
    <row r="59" spans="2:16">
      <c r="B59" s="566"/>
      <c r="C59" s="625" t="str">
        <f>"   Depreciation  (TCOS, ln "&amp;TCOS!B174&amp;")"</f>
        <v xml:space="preserve">   Depreciation  (TCOS, ln 100)</v>
      </c>
      <c r="D59" s="553"/>
      <c r="E59" s="532"/>
      <c r="G59" s="654">
        <f>TCOS!L174</f>
        <v>2801870.5454922519</v>
      </c>
      <c r="H59" s="636"/>
      <c r="I59" s="532"/>
      <c r="J59" s="578"/>
      <c r="K59" s="532"/>
      <c r="L59" s="532"/>
      <c r="M59" s="532"/>
      <c r="N59" s="532"/>
      <c r="O59" s="532"/>
      <c r="P59" s="578"/>
    </row>
    <row r="60" spans="2:16">
      <c r="B60" s="566"/>
      <c r="C60" s="645" t="str">
        <f>"   Annual Rev. Req, w/"&amp;F17&amp;" Basis Point ROE increase, less Depreciation"</f>
        <v xml:space="preserve">   Annual Rev. Req, w/ Basis Point ROE increase, less Depreciation</v>
      </c>
      <c r="D60" s="553"/>
      <c r="E60" s="532"/>
      <c r="G60" s="637">
        <f>G58-G59</f>
        <v>12248065.203529516</v>
      </c>
      <c r="H60" s="636"/>
      <c r="I60" s="532"/>
      <c r="J60" s="578"/>
      <c r="K60" s="532"/>
      <c r="L60" s="532"/>
      <c r="M60" s="532"/>
      <c r="N60" s="532"/>
      <c r="O60" s="532"/>
      <c r="P60" s="578"/>
    </row>
    <row r="61" spans="2:16">
      <c r="B61" s="566"/>
      <c r="C61" s="532"/>
      <c r="D61" s="553"/>
      <c r="E61" s="532"/>
      <c r="F61" s="532"/>
      <c r="G61" s="532"/>
      <c r="H61" s="636"/>
      <c r="I61" s="532"/>
      <c r="J61" s="578"/>
      <c r="K61" s="532"/>
      <c r="L61" s="532"/>
      <c r="M61" s="532"/>
      <c r="N61" s="532"/>
      <c r="O61" s="532"/>
      <c r="P61" s="578"/>
    </row>
    <row r="62" spans="2:16" ht="15.75">
      <c r="B62" s="566"/>
      <c r="C62" s="586" t="str">
        <f>"C.   Determine FCR with hypothetical "&amp;F17&amp;" basis point ROE increase."</f>
        <v>C.   Determine FCR with hypothetical  basis point ROE increase.</v>
      </c>
      <c r="D62" s="553"/>
      <c r="E62" s="532"/>
      <c r="F62" s="532"/>
      <c r="G62" s="532"/>
      <c r="H62" s="636"/>
      <c r="I62" s="532"/>
      <c r="J62" s="578"/>
      <c r="K62" s="532"/>
      <c r="L62" s="532"/>
      <c r="M62" s="532"/>
      <c r="N62" s="532"/>
      <c r="O62" s="532"/>
      <c r="P62" s="578"/>
    </row>
    <row r="63" spans="2:16">
      <c r="B63" s="566"/>
      <c r="C63" s="532"/>
      <c r="D63" s="553"/>
      <c r="E63" s="532"/>
      <c r="F63" s="532"/>
      <c r="G63" s="532"/>
      <c r="H63" s="636"/>
      <c r="I63" s="532"/>
      <c r="J63" s="578"/>
      <c r="K63" s="532"/>
      <c r="L63" s="532"/>
      <c r="M63" s="532"/>
      <c r="N63" s="532"/>
      <c r="O63" s="532"/>
      <c r="P63" s="578"/>
    </row>
    <row r="64" spans="2:16">
      <c r="B64" s="566"/>
      <c r="C64" s="625" t="str">
        <f>"   Net Transmission Plant  (TCOS, ln "&amp;TCOS!B91&amp;")"</f>
        <v xml:space="preserve">   Net Transmission Plant  (TCOS, ln 42)</v>
      </c>
      <c r="D64" s="553"/>
      <c r="E64" s="532"/>
      <c r="G64" s="637">
        <f>TCOS!L91</f>
        <v>124736569.84999996</v>
      </c>
      <c r="H64" s="655"/>
      <c r="I64" s="532"/>
      <c r="J64" s="578"/>
      <c r="K64" s="532"/>
      <c r="L64" s="532"/>
      <c r="M64" s="532"/>
      <c r="N64" s="532"/>
      <c r="O64" s="532"/>
      <c r="P64" s="578"/>
    </row>
    <row r="65" spans="2:16">
      <c r="B65" s="566"/>
      <c r="C65" s="645" t="str">
        <f>"   Annual Revenue Requirement, with "&amp;F17&amp;" Basis Point ROE increase"</f>
        <v xml:space="preserve">   Annual Revenue Requirement, with  Basis Point ROE increase</v>
      </c>
      <c r="D65" s="553"/>
      <c r="E65" s="532"/>
      <c r="G65" s="637">
        <f>G58</f>
        <v>15049935.749021769</v>
      </c>
      <c r="H65" s="636"/>
      <c r="I65" s="532"/>
      <c r="J65" s="578"/>
      <c r="K65" s="532"/>
      <c r="L65" s="532"/>
      <c r="M65" s="532"/>
      <c r="N65" s="532"/>
      <c r="O65" s="532"/>
      <c r="P65" s="578"/>
    </row>
    <row r="66" spans="2:16">
      <c r="B66" s="566"/>
      <c r="C66" s="645" t="str">
        <f>"   FCR with "&amp;F17&amp;" Basis Point increase in ROE"</f>
        <v xml:space="preserve">   FCR with  Basis Point increase in ROE</v>
      </c>
      <c r="D66" s="553"/>
      <c r="E66" s="532"/>
      <c r="G66" s="635">
        <f>G65/G64</f>
        <v>0.12065375668995737</v>
      </c>
      <c r="H66" s="636"/>
      <c r="I66" s="532"/>
      <c r="J66" s="578"/>
      <c r="K66" s="532"/>
      <c r="L66" s="532"/>
      <c r="M66" s="532"/>
      <c r="N66" s="532"/>
      <c r="O66" s="532"/>
      <c r="P66" s="578"/>
    </row>
    <row r="67" spans="2:16">
      <c r="B67" s="566"/>
      <c r="C67" s="357"/>
      <c r="D67" s="553"/>
      <c r="E67" s="532"/>
      <c r="G67" s="566"/>
      <c r="H67" s="636"/>
      <c r="I67" s="532"/>
      <c r="J67" s="578"/>
      <c r="K67" s="532"/>
      <c r="L67" s="532"/>
      <c r="M67" s="532"/>
      <c r="N67" s="532"/>
      <c r="O67" s="532"/>
      <c r="P67" s="578"/>
    </row>
    <row r="68" spans="2:16">
      <c r="B68" s="566"/>
      <c r="C68" s="645" t="str">
        <f>"   Annual Rev. Req, w / "&amp;F17&amp;" Basis Point ROE increase, less Dep."</f>
        <v xml:space="preserve">   Annual Rev. Req, w /  Basis Point ROE increase, less Dep.</v>
      </c>
      <c r="D68" s="553"/>
      <c r="E68" s="532"/>
      <c r="G68" s="637">
        <f>G60</f>
        <v>12248065.203529516</v>
      </c>
      <c r="H68" s="636"/>
      <c r="I68" s="532"/>
      <c r="J68" s="578"/>
      <c r="K68" s="532"/>
      <c r="L68" s="532"/>
      <c r="M68" s="532"/>
      <c r="N68" s="532"/>
      <c r="O68" s="532"/>
      <c r="P68" s="578"/>
    </row>
    <row r="69" spans="2:16">
      <c r="B69" s="566"/>
      <c r="C69" s="645" t="str">
        <f>"   FCR with "&amp;F17&amp;" Basis Point ROE increase, less Depreciation"</f>
        <v xml:space="preserve">   FCR with  Basis Point ROE increase, less Depreciation</v>
      </c>
      <c r="D69" s="553"/>
      <c r="E69" s="532"/>
      <c r="G69" s="635">
        <f>G68/G64</f>
        <v>9.8191454344609908E-2</v>
      </c>
      <c r="H69" s="636"/>
      <c r="I69" s="532"/>
      <c r="J69" s="578"/>
      <c r="K69" s="532"/>
      <c r="L69" s="532"/>
      <c r="M69" s="532"/>
      <c r="N69" s="532"/>
      <c r="O69" s="532"/>
      <c r="P69" s="578"/>
    </row>
    <row r="70" spans="2:16">
      <c r="B70" s="566"/>
      <c r="C70" s="625" t="str">
        <f>"   FCR less Depreciation  (TCOS, ln "&amp;TCOS!B34&amp;")"</f>
        <v xml:space="preserve">   FCR less Depreciation  (TCOS, ln 10)</v>
      </c>
      <c r="D70" s="553"/>
      <c r="E70" s="532"/>
      <c r="G70" s="656">
        <f>TCOS!L34</f>
        <v>9.8191454344609908E-2</v>
      </c>
      <c r="H70" s="636"/>
      <c r="I70" s="532"/>
      <c r="J70" s="578"/>
      <c r="K70" s="532"/>
      <c r="L70" s="532"/>
      <c r="M70" s="532"/>
      <c r="N70" s="532"/>
      <c r="O70" s="532"/>
      <c r="P70" s="578"/>
    </row>
    <row r="71" spans="2:16">
      <c r="B71" s="566"/>
      <c r="C71" s="645" t="str">
        <f>"   Incremental FCR with "&amp;F17&amp;" Basis Point ROE increase, less Depreciation"</f>
        <v xml:space="preserve">   Incremental FCR with  Basis Point ROE increase, less Depreciation</v>
      </c>
      <c r="D71" s="553"/>
      <c r="E71" s="532"/>
      <c r="G71" s="635">
        <f>G69-G70</f>
        <v>0</v>
      </c>
      <c r="H71" s="636"/>
      <c r="I71" s="532"/>
      <c r="J71" s="578"/>
      <c r="K71" s="532"/>
      <c r="L71" s="532"/>
      <c r="M71" s="532"/>
      <c r="N71" s="532"/>
      <c r="O71" s="532"/>
      <c r="P71" s="578"/>
    </row>
    <row r="72" spans="2:16">
      <c r="B72" s="566"/>
      <c r="C72" s="645"/>
      <c r="D72" s="553"/>
      <c r="E72" s="532"/>
      <c r="F72" s="635"/>
      <c r="G72" s="532"/>
      <c r="H72" s="636"/>
      <c r="I72" s="532"/>
      <c r="J72" s="578"/>
      <c r="K72" s="532"/>
      <c r="L72" s="532"/>
      <c r="M72" s="532"/>
      <c r="N72" s="532"/>
      <c r="O72" s="532"/>
      <c r="P72" s="578"/>
    </row>
    <row r="73" spans="2:16" ht="18.75">
      <c r="B73" s="585" t="s">
        <v>173</v>
      </c>
      <c r="C73" s="584" t="s">
        <v>267</v>
      </c>
      <c r="D73" s="553"/>
      <c r="E73" s="532"/>
      <c r="F73" s="635"/>
      <c r="G73" s="532"/>
      <c r="H73" s="636"/>
      <c r="I73" s="532"/>
      <c r="J73" s="578"/>
      <c r="K73" s="532"/>
      <c r="L73" s="532"/>
      <c r="M73" s="532"/>
      <c r="N73" s="532"/>
      <c r="O73" s="532"/>
      <c r="P73" s="578"/>
    </row>
    <row r="74" spans="2:16">
      <c r="B74" s="566"/>
      <c r="C74" s="645"/>
      <c r="D74" s="553"/>
      <c r="E74" s="532"/>
      <c r="F74" s="635"/>
      <c r="G74" s="532"/>
      <c r="H74" s="636"/>
      <c r="I74" s="532"/>
      <c r="J74" s="578"/>
      <c r="K74" s="532"/>
      <c r="L74" s="532"/>
      <c r="M74" s="532"/>
      <c r="N74" s="532"/>
      <c r="O74" s="532"/>
      <c r="P74" s="578"/>
    </row>
    <row r="75" spans="2:16">
      <c r="B75" s="566"/>
      <c r="C75" s="645" t="str">
        <f>+"Average Transmission Plant Balance for "&amp;TCOS!L4&amp;" (TCOS, ln "&amp;TCOS!B68&amp;")"</f>
        <v>Average Transmission Plant Balance for 2022 (TCOS, ln 21)</v>
      </c>
      <c r="D75" s="553"/>
      <c r="G75" s="636">
        <f>TCOS!L68</f>
        <v>154324444.27999997</v>
      </c>
      <c r="I75" s="532"/>
      <c r="J75" s="578"/>
      <c r="K75" s="659"/>
      <c r="L75" s="532"/>
      <c r="M75" s="532"/>
      <c r="N75" s="532"/>
      <c r="O75" s="532"/>
      <c r="P75" s="578"/>
    </row>
    <row r="76" spans="2:16">
      <c r="B76" s="566"/>
      <c r="C76" s="657" t="str">
        <f>"Annual Depreciation and Amortization Expense  (TCOS, ln "&amp;TCOS!B174&amp;")"</f>
        <v>Annual Depreciation and Amortization Expense  (TCOS, ln 100)</v>
      </c>
      <c r="D76" s="553"/>
      <c r="E76" s="532"/>
      <c r="G76" s="658">
        <f>TCOS!L174</f>
        <v>2801870.5454922519</v>
      </c>
      <c r="H76" s="636"/>
      <c r="I76" s="532"/>
      <c r="J76" s="578"/>
      <c r="K76" s="532"/>
      <c r="L76" s="532"/>
      <c r="M76" s="532"/>
      <c r="N76" s="532"/>
      <c r="O76" s="532"/>
      <c r="P76" s="578"/>
    </row>
    <row r="77" spans="2:16">
      <c r="B77" s="566"/>
      <c r="C77" s="645" t="s">
        <v>268</v>
      </c>
      <c r="D77" s="553"/>
      <c r="E77" s="532"/>
      <c r="G77" s="635">
        <f>+G76/G75</f>
        <v>1.8155714466132483E-2</v>
      </c>
      <c r="H77" s="660"/>
      <c r="I77" s="532"/>
      <c r="J77" s="578"/>
      <c r="K77" s="532"/>
      <c r="L77" s="532"/>
      <c r="M77" s="532"/>
      <c r="N77" s="532"/>
      <c r="O77" s="532"/>
      <c r="P77" s="578"/>
    </row>
    <row r="78" spans="2:16">
      <c r="B78" s="566"/>
      <c r="C78" s="645" t="s">
        <v>269</v>
      </c>
      <c r="D78" s="553"/>
      <c r="E78" s="532"/>
      <c r="G78" s="660">
        <f>1/G77</f>
        <v>55.079077271532967</v>
      </c>
      <c r="H78" s="636"/>
      <c r="I78" s="532"/>
      <c r="J78" s="578"/>
      <c r="K78" s="532"/>
      <c r="L78" s="532"/>
      <c r="M78" s="532"/>
      <c r="N78" s="532"/>
      <c r="O78" s="532"/>
      <c r="P78" s="578"/>
    </row>
    <row r="79" spans="2:16">
      <c r="B79" s="566"/>
      <c r="C79" s="645" t="s">
        <v>270</v>
      </c>
      <c r="D79" s="553"/>
      <c r="E79" s="532"/>
      <c r="G79" s="661">
        <f>ROUND(G78,0)</f>
        <v>55</v>
      </c>
      <c r="H79" s="636"/>
      <c r="I79" s="532"/>
      <c r="J79" s="578"/>
      <c r="K79" s="532"/>
      <c r="L79" s="532"/>
      <c r="M79" s="532"/>
      <c r="N79" s="532"/>
      <c r="O79" s="532"/>
      <c r="P79" s="578"/>
    </row>
    <row r="80" spans="2:16">
      <c r="B80" s="566"/>
      <c r="C80" s="645"/>
      <c r="D80" s="553"/>
      <c r="E80" s="532"/>
      <c r="G80" s="661"/>
      <c r="H80" s="636"/>
      <c r="I80" s="532"/>
      <c r="J80" s="578"/>
      <c r="K80" s="532"/>
      <c r="L80" s="532"/>
      <c r="M80" s="532"/>
      <c r="N80" s="532"/>
      <c r="O80" s="532"/>
      <c r="P80" s="578"/>
    </row>
    <row r="81" spans="1:16" ht="20.25">
      <c r="A81" s="665" t="s">
        <v>893</v>
      </c>
      <c r="B81" s="566"/>
      <c r="C81" s="645"/>
      <c r="D81" s="553"/>
      <c r="E81" s="532"/>
      <c r="F81" s="635"/>
      <c r="G81" s="532"/>
      <c r="H81" s="1239"/>
      <c r="K81" s="666"/>
      <c r="L81" s="666"/>
      <c r="M81" s="666"/>
      <c r="N81" s="581" t="str">
        <f>"Page "&amp;SUM(P$6:P81)&amp;" of "</f>
        <v xml:space="preserve">Page 1 of </v>
      </c>
      <c r="O81" s="582">
        <f>COUNT(P$6:P$57707)</f>
        <v>1</v>
      </c>
      <c r="P81" s="664"/>
    </row>
    <row r="82" spans="1:16">
      <c r="B82" s="566"/>
      <c r="C82" s="532"/>
      <c r="D82" s="553"/>
      <c r="E82" s="532"/>
      <c r="F82" s="532"/>
      <c r="G82" s="532"/>
      <c r="H82" s="1239"/>
      <c r="I82" s="532"/>
      <c r="J82" s="578"/>
      <c r="K82" s="532"/>
      <c r="L82" s="532"/>
      <c r="M82" s="532"/>
      <c r="N82" s="532"/>
      <c r="O82" s="532"/>
    </row>
    <row r="83" spans="1:16" ht="18">
      <c r="B83" s="585" t="s">
        <v>174</v>
      </c>
      <c r="C83" s="667" t="s">
        <v>290</v>
      </c>
      <c r="D83" s="553"/>
      <c r="E83" s="532"/>
      <c r="F83" s="532"/>
      <c r="G83" s="532"/>
      <c r="H83" s="1239"/>
      <c r="I83" s="1239"/>
      <c r="J83" s="1240"/>
      <c r="K83" s="1239"/>
      <c r="L83" s="1239"/>
      <c r="M83" s="1239"/>
      <c r="N83" s="1239"/>
      <c r="O83" s="532"/>
    </row>
    <row r="84" spans="1:16" ht="18.75">
      <c r="B84" s="585"/>
      <c r="C84" s="584"/>
      <c r="D84" s="553"/>
      <c r="E84" s="532"/>
      <c r="F84" s="532"/>
      <c r="G84" s="532"/>
      <c r="H84" s="1239"/>
      <c r="I84" s="1239"/>
      <c r="J84" s="1240"/>
      <c r="K84" s="1239"/>
      <c r="L84" s="1239"/>
      <c r="M84" s="1239"/>
      <c r="N84" s="1239"/>
      <c r="O84" s="532"/>
    </row>
    <row r="85" spans="1:16" ht="18.75">
      <c r="B85" s="585"/>
      <c r="C85" s="584" t="s">
        <v>291</v>
      </c>
      <c r="D85" s="553"/>
      <c r="E85" s="532"/>
      <c r="F85" s="532"/>
      <c r="G85" s="532"/>
      <c r="H85" s="1239"/>
      <c r="I85" s="1239"/>
      <c r="J85" s="1240"/>
      <c r="K85" s="1239"/>
      <c r="L85" s="1239"/>
      <c r="M85" s="1239"/>
      <c r="N85" s="1239"/>
      <c r="O85" s="532"/>
    </row>
    <row r="86" spans="1:16" ht="15.75" thickBot="1">
      <c r="C86" s="385"/>
      <c r="D86" s="553"/>
      <c r="E86" s="532"/>
      <c r="F86" s="532"/>
      <c r="G86" s="532"/>
      <c r="H86" s="1239"/>
      <c r="I86" s="1239"/>
      <c r="J86" s="1240"/>
      <c r="K86" s="1239"/>
      <c r="L86" s="1239"/>
      <c r="M86" s="1239"/>
      <c r="N86" s="1239"/>
      <c r="O86" s="532"/>
    </row>
    <row r="87" spans="1:16" ht="15.75">
      <c r="C87" s="586" t="s">
        <v>292</v>
      </c>
      <c r="D87" s="553"/>
      <c r="E87" s="532"/>
      <c r="F87" s="532"/>
      <c r="G87" s="1241"/>
      <c r="H87" s="532" t="s">
        <v>271</v>
      </c>
      <c r="I87" s="532"/>
      <c r="J87" s="578"/>
      <c r="K87" s="668" t="s">
        <v>296</v>
      </c>
      <c r="L87" s="669"/>
      <c r="M87" s="670"/>
      <c r="N87" s="1242">
        <f>VLOOKUP(I93,C100:O159,5)</f>
        <v>120502.77817296157</v>
      </c>
      <c r="O87" s="532"/>
    </row>
    <row r="88" spans="1:16" ht="15.75">
      <c r="C88" s="586"/>
      <c r="D88" s="553"/>
      <c r="E88" s="532"/>
      <c r="F88" s="532"/>
      <c r="G88" s="532"/>
      <c r="H88" s="1243"/>
      <c r="I88" s="1243"/>
      <c r="J88" s="1244"/>
      <c r="K88" s="673" t="s">
        <v>297</v>
      </c>
      <c r="L88" s="1245"/>
      <c r="M88" s="578"/>
      <c r="N88" s="1246">
        <f>VLOOKUP(I93,C100:O159,6)</f>
        <v>120502.77817296157</v>
      </c>
      <c r="O88" s="532"/>
    </row>
    <row r="89" spans="1:16" ht="13.5" thickBot="1">
      <c r="C89" s="674" t="s">
        <v>293</v>
      </c>
      <c r="D89" s="1604" t="s">
        <v>900</v>
      </c>
      <c r="E89" s="1604"/>
      <c r="F89" s="1604"/>
      <c r="G89" s="1604"/>
      <c r="H89" s="1239"/>
      <c r="I89" s="1239"/>
      <c r="J89" s="1240"/>
      <c r="K89" s="1247" t="s">
        <v>449</v>
      </c>
      <c r="L89" s="1248"/>
      <c r="M89" s="1248"/>
      <c r="N89" s="1249">
        <f>+N88-N87</f>
        <v>0</v>
      </c>
      <c r="O89" s="532"/>
    </row>
    <row r="90" spans="1:16">
      <c r="C90" s="676"/>
      <c r="D90" s="677"/>
      <c r="E90" s="661"/>
      <c r="F90" s="661"/>
      <c r="G90" s="678"/>
      <c r="H90" s="1239"/>
      <c r="I90" s="1239"/>
      <c r="J90" s="1240"/>
      <c r="K90" s="1239"/>
      <c r="L90" s="1239"/>
      <c r="M90" s="1239"/>
      <c r="N90" s="1239"/>
      <c r="O90" s="532"/>
    </row>
    <row r="91" spans="1:16" ht="13.5" thickBot="1">
      <c r="C91" s="679"/>
      <c r="D91" s="1250"/>
      <c r="E91" s="678"/>
      <c r="F91" s="678"/>
      <c r="G91" s="678"/>
      <c r="H91" s="678"/>
      <c r="I91" s="678"/>
      <c r="J91" s="681"/>
      <c r="K91" s="678"/>
      <c r="L91" s="678"/>
      <c r="M91" s="678"/>
      <c r="N91" s="678"/>
      <c r="O91" s="566"/>
    </row>
    <row r="92" spans="1:16" ht="13.5" thickBot="1">
      <c r="C92" s="682" t="s">
        <v>294</v>
      </c>
      <c r="D92" s="683"/>
      <c r="E92" s="683"/>
      <c r="F92" s="683"/>
      <c r="G92" s="683"/>
      <c r="H92" s="683"/>
      <c r="I92" s="684"/>
      <c r="J92" s="685"/>
      <c r="K92" s="532"/>
      <c r="L92" s="532"/>
      <c r="M92" s="532"/>
      <c r="N92" s="532"/>
      <c r="O92" s="686"/>
    </row>
    <row r="93" spans="1:16" ht="15">
      <c r="C93" s="687" t="s">
        <v>272</v>
      </c>
      <c r="D93" s="1251">
        <v>1115334</v>
      </c>
      <c r="E93" s="645" t="s">
        <v>273</v>
      </c>
      <c r="G93" s="688"/>
      <c r="H93" s="688"/>
      <c r="I93" s="689">
        <v>2018</v>
      </c>
      <c r="J93" s="576"/>
      <c r="K93" s="1605" t="s">
        <v>458</v>
      </c>
      <c r="L93" s="1605"/>
      <c r="M93" s="1605"/>
      <c r="N93" s="1605"/>
      <c r="O93" s="1605"/>
    </row>
    <row r="94" spans="1:16">
      <c r="C94" s="687" t="s">
        <v>275</v>
      </c>
      <c r="D94" s="866">
        <v>2013</v>
      </c>
      <c r="E94" s="687" t="s">
        <v>276</v>
      </c>
      <c r="F94" s="688"/>
      <c r="H94" s="319"/>
      <c r="I94" s="1252">
        <f>IF(G87="",0,$F$15)</f>
        <v>0</v>
      </c>
      <c r="J94" s="690"/>
      <c r="K94" s="1240" t="s">
        <v>458</v>
      </c>
    </row>
    <row r="95" spans="1:16">
      <c r="C95" s="687" t="s">
        <v>277</v>
      </c>
      <c r="D95" s="1251">
        <v>10</v>
      </c>
      <c r="E95" s="687" t="s">
        <v>278</v>
      </c>
      <c r="F95" s="688"/>
      <c r="H95" s="319"/>
      <c r="I95" s="691">
        <f>$G$70</f>
        <v>9.8191454344609908E-2</v>
      </c>
      <c r="J95" s="692"/>
      <c r="K95" s="319" t="str">
        <f>"          INPUT PROJECTED ARR (WITH &amp; WITHOUT INCENTIVES) FROM EACH PRIOR YEAR"</f>
        <v xml:space="preserve">          INPUT PROJECTED ARR (WITH &amp; WITHOUT INCENTIVES) FROM EACH PRIOR YEAR</v>
      </c>
    </row>
    <row r="96" spans="1:16">
      <c r="C96" s="687" t="s">
        <v>279</v>
      </c>
      <c r="D96" s="693">
        <f>G$79</f>
        <v>55</v>
      </c>
      <c r="E96" s="687" t="s">
        <v>280</v>
      </c>
      <c r="F96" s="688"/>
      <c r="H96" s="319"/>
      <c r="I96" s="691">
        <f>IF(G87="",I95,$G$67)</f>
        <v>9.8191454344609908E-2</v>
      </c>
      <c r="J96" s="694"/>
      <c r="K96" s="319" t="s">
        <v>357</v>
      </c>
    </row>
    <row r="97" spans="1:15" ht="13.5" thickBot="1">
      <c r="C97" s="687" t="s">
        <v>281</v>
      </c>
      <c r="D97" s="858" t="s">
        <v>894</v>
      </c>
      <c r="E97" s="695" t="s">
        <v>282</v>
      </c>
      <c r="F97" s="696"/>
      <c r="G97" s="697"/>
      <c r="H97" s="697"/>
      <c r="I97" s="1249">
        <f>IF(D93=0,0,D93/D96)</f>
        <v>20278.8</v>
      </c>
      <c r="J97" s="1240"/>
      <c r="K97" s="1240" t="s">
        <v>363</v>
      </c>
      <c r="L97" s="1240"/>
      <c r="M97" s="1240"/>
      <c r="N97" s="1240"/>
      <c r="O97" s="578"/>
    </row>
    <row r="98" spans="1:15" ht="51">
      <c r="A98" s="519"/>
      <c r="B98" s="1253"/>
      <c r="C98" s="698" t="s">
        <v>272</v>
      </c>
      <c r="D98" s="1254" t="s">
        <v>283</v>
      </c>
      <c r="E98" s="1255" t="s">
        <v>284</v>
      </c>
      <c r="F98" s="1254" t="s">
        <v>285</v>
      </c>
      <c r="G98" s="1255" t="s">
        <v>356</v>
      </c>
      <c r="H98" s="1256" t="s">
        <v>356</v>
      </c>
      <c r="I98" s="698" t="s">
        <v>295</v>
      </c>
      <c r="J98" s="702"/>
      <c r="K98" s="1255" t="s">
        <v>365</v>
      </c>
      <c r="L98" s="1257"/>
      <c r="M98" s="1255" t="s">
        <v>365</v>
      </c>
      <c r="N98" s="1257"/>
      <c r="O98" s="1257"/>
    </row>
    <row r="99" spans="1:15" ht="13.5" thickBot="1">
      <c r="C99" s="704" t="s">
        <v>177</v>
      </c>
      <c r="D99" s="705" t="s">
        <v>178</v>
      </c>
      <c r="E99" s="704" t="s">
        <v>37</v>
      </c>
      <c r="F99" s="705" t="s">
        <v>178</v>
      </c>
      <c r="G99" s="1258" t="s">
        <v>298</v>
      </c>
      <c r="H99" s="1259" t="s">
        <v>300</v>
      </c>
      <c r="I99" s="708" t="s">
        <v>389</v>
      </c>
      <c r="J99" s="709"/>
      <c r="K99" s="1258" t="s">
        <v>287</v>
      </c>
      <c r="L99" s="1260"/>
      <c r="M99" s="1258" t="s">
        <v>300</v>
      </c>
      <c r="N99" s="1260"/>
      <c r="O99" s="1260"/>
    </row>
    <row r="100" spans="1:15">
      <c r="C100" s="710">
        <f>IF(D94= "","-",D94)</f>
        <v>2013</v>
      </c>
      <c r="D100" s="663">
        <f>+D93</f>
        <v>1115334</v>
      </c>
      <c r="E100" s="1261">
        <f>+I97/12*(12-D95)</f>
        <v>3379.7999999999997</v>
      </c>
      <c r="F100" s="663">
        <f t="shared" ref="F100:F159" si="0">+D100-E100</f>
        <v>1111954.2</v>
      </c>
      <c r="G100" s="1262">
        <f>+$I$95*((D100+F100)/2)+E100</f>
        <v>112730.1338012942</v>
      </c>
      <c r="H100" s="1263">
        <f>$I$96*((D100+F100)/2)+E100</f>
        <v>112730.1338012942</v>
      </c>
      <c r="I100" s="714">
        <f>+H100-G100</f>
        <v>0</v>
      </c>
      <c r="J100" s="714"/>
      <c r="K100" s="860">
        <v>44166</v>
      </c>
      <c r="L100" s="716"/>
      <c r="M100" s="860">
        <v>44166</v>
      </c>
      <c r="N100" s="716"/>
      <c r="O100" s="716"/>
    </row>
    <row r="101" spans="1:15">
      <c r="C101" s="710">
        <f>IF(D94="","-",+C100+1)</f>
        <v>2014</v>
      </c>
      <c r="D101" s="663">
        <f t="shared" ref="D101:D159" si="1">F100</f>
        <v>1111954.2</v>
      </c>
      <c r="E101" s="717">
        <f>IF(D101&gt;$I$97,$I$97,D101)</f>
        <v>20278.8</v>
      </c>
      <c r="F101" s="663">
        <f t="shared" si="0"/>
        <v>1091675.3999999999</v>
      </c>
      <c r="G101" s="1261">
        <f t="shared" ref="G101:G159" si="2">+$I$95*((D101+F101)/2)+E101</f>
        <v>128467.59763041548</v>
      </c>
      <c r="H101" s="1264">
        <f t="shared" ref="H101:H159" si="3">$I$96*((D101+F101)/2)+E101</f>
        <v>128467.59763041548</v>
      </c>
      <c r="I101" s="714">
        <f t="shared" ref="I101:I159" si="4">+H101-G101</f>
        <v>0</v>
      </c>
      <c r="J101" s="714"/>
      <c r="K101" s="861">
        <v>33234</v>
      </c>
      <c r="L101" s="720"/>
      <c r="M101" s="861">
        <v>33234</v>
      </c>
      <c r="N101" s="720"/>
      <c r="O101" s="720"/>
    </row>
    <row r="102" spans="1:15">
      <c r="C102" s="710">
        <f>IF(D94="","-",+C101+1)</f>
        <v>2015</v>
      </c>
      <c r="D102" s="663">
        <f t="shared" si="1"/>
        <v>1091675.3999999999</v>
      </c>
      <c r="E102" s="717">
        <f t="shared" ref="E102:E159" si="5">IF(D102&gt;$I$97,$I$97,D102)</f>
        <v>20278.8</v>
      </c>
      <c r="F102" s="663">
        <f t="shared" si="0"/>
        <v>1071396.5999999999</v>
      </c>
      <c r="G102" s="1261">
        <f t="shared" si="2"/>
        <v>126476.39276605203</v>
      </c>
      <c r="H102" s="1264">
        <f t="shared" si="3"/>
        <v>126476.39276605203</v>
      </c>
      <c r="I102" s="714">
        <f t="shared" si="4"/>
        <v>0</v>
      </c>
      <c r="J102" s="714"/>
      <c r="K102" s="861">
        <v>58699</v>
      </c>
      <c r="L102" s="720"/>
      <c r="M102" s="861">
        <v>58699</v>
      </c>
      <c r="N102" s="720"/>
      <c r="O102" s="720"/>
    </row>
    <row r="103" spans="1:15">
      <c r="C103" s="710">
        <f>IF(D94="","-",+C102+1)</f>
        <v>2016</v>
      </c>
      <c r="D103" s="663">
        <f t="shared" si="1"/>
        <v>1071396.5999999999</v>
      </c>
      <c r="E103" s="717">
        <f t="shared" si="5"/>
        <v>20278.8</v>
      </c>
      <c r="F103" s="663">
        <f t="shared" si="0"/>
        <v>1051117.7999999998</v>
      </c>
      <c r="G103" s="1261">
        <f t="shared" si="2"/>
        <v>124485.18790168852</v>
      </c>
      <c r="H103" s="1264">
        <f t="shared" si="3"/>
        <v>124485.18790168852</v>
      </c>
      <c r="I103" s="714">
        <f t="shared" si="4"/>
        <v>0</v>
      </c>
      <c r="J103" s="714"/>
      <c r="K103" s="861">
        <v>107095</v>
      </c>
      <c r="L103" s="720"/>
      <c r="M103" s="861">
        <v>107095</v>
      </c>
      <c r="N103" s="720"/>
      <c r="O103" s="720"/>
    </row>
    <row r="104" spans="1:15">
      <c r="C104" s="710">
        <f>IF(D94="","-",+C103+1)</f>
        <v>2017</v>
      </c>
      <c r="D104" s="663">
        <f t="shared" si="1"/>
        <v>1051117.7999999998</v>
      </c>
      <c r="E104" s="717">
        <f t="shared" si="5"/>
        <v>20278.8</v>
      </c>
      <c r="F104" s="663">
        <f t="shared" si="0"/>
        <v>1030838.9999999998</v>
      </c>
      <c r="G104" s="1261">
        <f t="shared" si="2"/>
        <v>122493.98303732506</v>
      </c>
      <c r="H104" s="1264">
        <f t="shared" si="3"/>
        <v>122493.98303732506</v>
      </c>
      <c r="I104" s="714">
        <f t="shared" si="4"/>
        <v>0</v>
      </c>
      <c r="J104" s="714"/>
      <c r="K104" s="1265">
        <v>154474</v>
      </c>
      <c r="L104" s="720"/>
      <c r="M104" s="1265">
        <v>154474</v>
      </c>
      <c r="N104" s="720"/>
      <c r="O104" s="720"/>
    </row>
    <row r="105" spans="1:15">
      <c r="C105" s="1273">
        <f>IF(D94="","-",+C104+1)</f>
        <v>2018</v>
      </c>
      <c r="D105" s="663">
        <f t="shared" si="1"/>
        <v>1030838.9999999998</v>
      </c>
      <c r="E105" s="717">
        <f t="shared" si="5"/>
        <v>20278.8</v>
      </c>
      <c r="F105" s="663">
        <f t="shared" si="0"/>
        <v>1010560.1999999997</v>
      </c>
      <c r="G105" s="1261">
        <f t="shared" si="2"/>
        <v>120502.77817296157</v>
      </c>
      <c r="H105" s="1264">
        <f t="shared" si="3"/>
        <v>120502.77817296157</v>
      </c>
      <c r="I105" s="714">
        <f t="shared" si="4"/>
        <v>0</v>
      </c>
      <c r="J105" s="714"/>
      <c r="K105" s="861" t="s">
        <v>114</v>
      </c>
      <c r="L105" s="720"/>
      <c r="M105" s="861" t="s">
        <v>114</v>
      </c>
      <c r="N105" s="720"/>
      <c r="O105" s="720"/>
    </row>
    <row r="106" spans="1:15">
      <c r="C106" s="710">
        <f>IF(D94="","-",+C105+1)</f>
        <v>2019</v>
      </c>
      <c r="D106" s="663">
        <f t="shared" si="1"/>
        <v>1010560.1999999997</v>
      </c>
      <c r="E106" s="717">
        <f t="shared" si="5"/>
        <v>20278.8</v>
      </c>
      <c r="F106" s="663">
        <f t="shared" si="0"/>
        <v>990281.39999999967</v>
      </c>
      <c r="G106" s="1261">
        <f t="shared" si="2"/>
        <v>118511.57330859809</v>
      </c>
      <c r="H106" s="1264">
        <f t="shared" si="3"/>
        <v>118511.57330859809</v>
      </c>
      <c r="I106" s="714">
        <f t="shared" si="4"/>
        <v>0</v>
      </c>
      <c r="J106" s="714"/>
      <c r="K106" s="861" t="s">
        <v>114</v>
      </c>
      <c r="L106" s="720"/>
      <c r="M106" s="861" t="s">
        <v>114</v>
      </c>
      <c r="N106" s="720"/>
      <c r="O106" s="720"/>
    </row>
    <row r="107" spans="1:15">
      <c r="C107" s="710">
        <f>IF(D94="","-",+C106+1)</f>
        <v>2020</v>
      </c>
      <c r="D107" s="663">
        <f t="shared" si="1"/>
        <v>990281.39999999967</v>
      </c>
      <c r="E107" s="717">
        <f t="shared" si="5"/>
        <v>20278.8</v>
      </c>
      <c r="F107" s="663">
        <f t="shared" si="0"/>
        <v>970002.59999999963</v>
      </c>
      <c r="G107" s="1261">
        <f t="shared" si="2"/>
        <v>116520.36844423461</v>
      </c>
      <c r="H107" s="1264">
        <f t="shared" si="3"/>
        <v>116520.36844423461</v>
      </c>
      <c r="I107" s="714">
        <f t="shared" si="4"/>
        <v>0</v>
      </c>
      <c r="J107" s="714"/>
      <c r="K107" s="861" t="s">
        <v>114</v>
      </c>
      <c r="L107" s="720"/>
      <c r="M107" s="861" t="s">
        <v>114</v>
      </c>
      <c r="N107" s="720"/>
      <c r="O107" s="720"/>
    </row>
    <row r="108" spans="1:15">
      <c r="C108" s="710">
        <f>IF(D94="","-",+C107+1)</f>
        <v>2021</v>
      </c>
      <c r="D108" s="663">
        <f t="shared" si="1"/>
        <v>970002.59999999963</v>
      </c>
      <c r="E108" s="717">
        <f t="shared" si="5"/>
        <v>20278.8</v>
      </c>
      <c r="F108" s="663">
        <f t="shared" si="0"/>
        <v>949723.79999999958</v>
      </c>
      <c r="G108" s="1261">
        <f t="shared" si="2"/>
        <v>114529.16357987114</v>
      </c>
      <c r="H108" s="1264">
        <f t="shared" si="3"/>
        <v>114529.16357987114</v>
      </c>
      <c r="I108" s="714">
        <f t="shared" si="4"/>
        <v>0</v>
      </c>
      <c r="J108" s="714"/>
      <c r="K108" s="861" t="s">
        <v>114</v>
      </c>
      <c r="L108" s="720"/>
      <c r="M108" s="861" t="s">
        <v>114</v>
      </c>
      <c r="N108" s="720"/>
      <c r="O108" s="720"/>
    </row>
    <row r="109" spans="1:15">
      <c r="C109" s="1273">
        <f>IF(D94="","-",+C108+1)</f>
        <v>2022</v>
      </c>
      <c r="D109" s="1266">
        <f t="shared" si="1"/>
        <v>949723.79999999958</v>
      </c>
      <c r="E109" s="1267">
        <f t="shared" si="5"/>
        <v>20278.8</v>
      </c>
      <c r="F109" s="1266">
        <f t="shared" si="0"/>
        <v>929444.99999999953</v>
      </c>
      <c r="G109" s="1268">
        <f t="shared" si="2"/>
        <v>112537.95871550766</v>
      </c>
      <c r="H109" s="1269">
        <f t="shared" si="3"/>
        <v>112537.95871550766</v>
      </c>
      <c r="I109" s="1270">
        <f t="shared" si="4"/>
        <v>0</v>
      </c>
      <c r="J109" s="714"/>
      <c r="K109" s="861"/>
      <c r="L109" s="720"/>
      <c r="M109" s="861"/>
      <c r="N109" s="720"/>
      <c r="O109" s="720"/>
    </row>
    <row r="110" spans="1:15">
      <c r="C110" s="710">
        <f>IF(D94="","-",+C109+1)</f>
        <v>2023</v>
      </c>
      <c r="D110" s="663">
        <f t="shared" si="1"/>
        <v>929444.99999999953</v>
      </c>
      <c r="E110" s="717">
        <f t="shared" si="5"/>
        <v>20278.8</v>
      </c>
      <c r="F110" s="663">
        <f t="shared" si="0"/>
        <v>909166.19999999949</v>
      </c>
      <c r="G110" s="1261">
        <f t="shared" si="2"/>
        <v>110546.75385114417</v>
      </c>
      <c r="H110" s="1264">
        <f t="shared" si="3"/>
        <v>110546.75385114417</v>
      </c>
      <c r="I110" s="714">
        <f t="shared" si="4"/>
        <v>0</v>
      </c>
      <c r="J110" s="714"/>
      <c r="K110" s="861"/>
      <c r="L110" s="720"/>
      <c r="M110" s="861"/>
      <c r="N110" s="720"/>
      <c r="O110" s="720"/>
    </row>
    <row r="111" spans="1:15">
      <c r="C111" s="710">
        <f>IF(D94="","-",+C110+1)</f>
        <v>2024</v>
      </c>
      <c r="D111" s="663">
        <f t="shared" si="1"/>
        <v>909166.19999999949</v>
      </c>
      <c r="E111" s="717">
        <f t="shared" si="5"/>
        <v>20278.8</v>
      </c>
      <c r="F111" s="663">
        <f t="shared" si="0"/>
        <v>888887.39999999944</v>
      </c>
      <c r="G111" s="1261">
        <f t="shared" si="2"/>
        <v>108555.54898678069</v>
      </c>
      <c r="H111" s="1264">
        <f t="shared" si="3"/>
        <v>108555.54898678069</v>
      </c>
      <c r="I111" s="714">
        <f t="shared" si="4"/>
        <v>0</v>
      </c>
      <c r="J111" s="714"/>
      <c r="K111" s="861"/>
      <c r="L111" s="720"/>
      <c r="M111" s="861"/>
      <c r="N111" s="720"/>
      <c r="O111" s="720"/>
    </row>
    <row r="112" spans="1:15">
      <c r="C112" s="710">
        <f>IF(D94="","-",+C111+1)</f>
        <v>2025</v>
      </c>
      <c r="D112" s="663">
        <f t="shared" si="1"/>
        <v>888887.39999999944</v>
      </c>
      <c r="E112" s="717">
        <f t="shared" si="5"/>
        <v>20278.8</v>
      </c>
      <c r="F112" s="663">
        <f t="shared" si="0"/>
        <v>868608.59999999939</v>
      </c>
      <c r="G112" s="1261">
        <f t="shared" si="2"/>
        <v>106564.34412241721</v>
      </c>
      <c r="H112" s="1264">
        <f t="shared" si="3"/>
        <v>106564.34412241721</v>
      </c>
      <c r="I112" s="714">
        <f t="shared" si="4"/>
        <v>0</v>
      </c>
      <c r="J112" s="714"/>
      <c r="K112" s="861"/>
      <c r="L112" s="720"/>
      <c r="M112" s="861"/>
      <c r="N112" s="720"/>
      <c r="O112" s="720"/>
    </row>
    <row r="113" spans="3:15">
      <c r="C113" s="710">
        <f>IF(D94="","-",+C112+1)</f>
        <v>2026</v>
      </c>
      <c r="D113" s="663">
        <f t="shared" si="1"/>
        <v>868608.59999999939</v>
      </c>
      <c r="E113" s="717">
        <f t="shared" si="5"/>
        <v>20278.8</v>
      </c>
      <c r="F113" s="663">
        <f t="shared" si="0"/>
        <v>848329.79999999935</v>
      </c>
      <c r="G113" s="1261">
        <f t="shared" si="2"/>
        <v>104573.13925805374</v>
      </c>
      <c r="H113" s="1264">
        <f t="shared" si="3"/>
        <v>104573.13925805374</v>
      </c>
      <c r="I113" s="714">
        <f t="shared" si="4"/>
        <v>0</v>
      </c>
      <c r="J113" s="714"/>
      <c r="K113" s="861"/>
      <c r="L113" s="720"/>
      <c r="M113" s="861"/>
      <c r="N113" s="720"/>
      <c r="O113" s="720"/>
    </row>
    <row r="114" spans="3:15">
      <c r="C114" s="710">
        <f>IF(D94="","-",+C113+1)</f>
        <v>2027</v>
      </c>
      <c r="D114" s="663">
        <f t="shared" si="1"/>
        <v>848329.79999999935</v>
      </c>
      <c r="E114" s="717">
        <f t="shared" si="5"/>
        <v>20278.8</v>
      </c>
      <c r="F114" s="663">
        <f t="shared" si="0"/>
        <v>828050.9999999993</v>
      </c>
      <c r="G114" s="1261">
        <f t="shared" si="2"/>
        <v>102581.93439369026</v>
      </c>
      <c r="H114" s="1264">
        <f t="shared" si="3"/>
        <v>102581.93439369026</v>
      </c>
      <c r="I114" s="714">
        <f t="shared" si="4"/>
        <v>0</v>
      </c>
      <c r="J114" s="714"/>
      <c r="K114" s="861"/>
      <c r="L114" s="720"/>
      <c r="M114" s="861"/>
      <c r="N114" s="720"/>
      <c r="O114" s="720"/>
    </row>
    <row r="115" spans="3:15">
      <c r="C115" s="710">
        <f>IF(D94="","-",+C114+1)</f>
        <v>2028</v>
      </c>
      <c r="D115" s="663">
        <f t="shared" si="1"/>
        <v>828050.9999999993</v>
      </c>
      <c r="E115" s="717">
        <f t="shared" si="5"/>
        <v>20278.8</v>
      </c>
      <c r="F115" s="663">
        <f t="shared" si="0"/>
        <v>807772.19999999925</v>
      </c>
      <c r="G115" s="1261">
        <f t="shared" si="2"/>
        <v>100590.72952932677</v>
      </c>
      <c r="H115" s="1264">
        <f t="shared" si="3"/>
        <v>100590.72952932677</v>
      </c>
      <c r="I115" s="714">
        <f t="shared" si="4"/>
        <v>0</v>
      </c>
      <c r="J115" s="714"/>
      <c r="K115" s="861"/>
      <c r="L115" s="720"/>
      <c r="M115" s="861"/>
      <c r="N115" s="720"/>
      <c r="O115" s="720"/>
    </row>
    <row r="116" spans="3:15">
      <c r="C116" s="710">
        <f>IF(D94="","-",+C115+1)</f>
        <v>2029</v>
      </c>
      <c r="D116" s="663">
        <f t="shared" si="1"/>
        <v>807772.19999999925</v>
      </c>
      <c r="E116" s="717">
        <f t="shared" si="5"/>
        <v>20278.8</v>
      </c>
      <c r="F116" s="663">
        <f t="shared" si="0"/>
        <v>787493.39999999921</v>
      </c>
      <c r="G116" s="1261">
        <f t="shared" si="2"/>
        <v>98599.52466496329</v>
      </c>
      <c r="H116" s="1264">
        <f t="shared" si="3"/>
        <v>98599.52466496329</v>
      </c>
      <c r="I116" s="714">
        <f t="shared" si="4"/>
        <v>0</v>
      </c>
      <c r="J116" s="714"/>
      <c r="K116" s="861"/>
      <c r="L116" s="720"/>
      <c r="M116" s="861"/>
      <c r="N116" s="720"/>
      <c r="O116" s="720"/>
    </row>
    <row r="117" spans="3:15">
      <c r="C117" s="710">
        <f>IF(D94="","-",+C116+1)</f>
        <v>2030</v>
      </c>
      <c r="D117" s="663">
        <f t="shared" si="1"/>
        <v>787493.39999999921</v>
      </c>
      <c r="E117" s="717">
        <f t="shared" si="5"/>
        <v>20278.8</v>
      </c>
      <c r="F117" s="663">
        <f t="shared" si="0"/>
        <v>767214.59999999916</v>
      </c>
      <c r="G117" s="1261">
        <f t="shared" si="2"/>
        <v>96608.319800599813</v>
      </c>
      <c r="H117" s="1264">
        <f t="shared" si="3"/>
        <v>96608.319800599813</v>
      </c>
      <c r="I117" s="714">
        <f t="shared" si="4"/>
        <v>0</v>
      </c>
      <c r="J117" s="714"/>
      <c r="K117" s="861"/>
      <c r="L117" s="720"/>
      <c r="M117" s="861"/>
      <c r="N117" s="720"/>
      <c r="O117" s="720"/>
    </row>
    <row r="118" spans="3:15">
      <c r="C118" s="710">
        <f>IF(D94="","-",+C117+1)</f>
        <v>2031</v>
      </c>
      <c r="D118" s="663">
        <f t="shared" si="1"/>
        <v>767214.59999999916</v>
      </c>
      <c r="E118" s="717">
        <f t="shared" si="5"/>
        <v>20278.8</v>
      </c>
      <c r="F118" s="663">
        <f t="shared" si="0"/>
        <v>746935.79999999912</v>
      </c>
      <c r="G118" s="1261">
        <f t="shared" si="2"/>
        <v>94617.114936236336</v>
      </c>
      <c r="H118" s="1264">
        <f t="shared" si="3"/>
        <v>94617.114936236336</v>
      </c>
      <c r="I118" s="714">
        <f t="shared" si="4"/>
        <v>0</v>
      </c>
      <c r="J118" s="714"/>
      <c r="K118" s="861"/>
      <c r="L118" s="720"/>
      <c r="M118" s="861"/>
      <c r="N118" s="720"/>
      <c r="O118" s="720"/>
    </row>
    <row r="119" spans="3:15">
      <c r="C119" s="710">
        <f>IF(D94="","-",+C118+1)</f>
        <v>2032</v>
      </c>
      <c r="D119" s="663">
        <f t="shared" si="1"/>
        <v>746935.79999999912</v>
      </c>
      <c r="E119" s="717">
        <f t="shared" si="5"/>
        <v>20278.8</v>
      </c>
      <c r="F119" s="663">
        <f t="shared" si="0"/>
        <v>726656.99999999907</v>
      </c>
      <c r="G119" s="1261">
        <f t="shared" si="2"/>
        <v>92625.910071872859</v>
      </c>
      <c r="H119" s="1264">
        <f t="shared" si="3"/>
        <v>92625.910071872859</v>
      </c>
      <c r="I119" s="714">
        <f t="shared" si="4"/>
        <v>0</v>
      </c>
      <c r="J119" s="714"/>
      <c r="K119" s="861"/>
      <c r="L119" s="720"/>
      <c r="M119" s="861"/>
      <c r="N119" s="720"/>
      <c r="O119" s="720"/>
    </row>
    <row r="120" spans="3:15">
      <c r="C120" s="710">
        <f>IF(D94="","-",+C119+1)</f>
        <v>2033</v>
      </c>
      <c r="D120" s="663">
        <f t="shared" si="1"/>
        <v>726656.99999999907</v>
      </c>
      <c r="E120" s="717">
        <f t="shared" si="5"/>
        <v>20278.8</v>
      </c>
      <c r="F120" s="663">
        <f t="shared" si="0"/>
        <v>706378.19999999902</v>
      </c>
      <c r="G120" s="1261">
        <f t="shared" si="2"/>
        <v>90634.705207509367</v>
      </c>
      <c r="H120" s="1264">
        <f t="shared" si="3"/>
        <v>90634.705207509367</v>
      </c>
      <c r="I120" s="714">
        <f t="shared" si="4"/>
        <v>0</v>
      </c>
      <c r="J120" s="714"/>
      <c r="K120" s="861"/>
      <c r="L120" s="720"/>
      <c r="M120" s="861"/>
      <c r="N120" s="720"/>
      <c r="O120" s="720"/>
    </row>
    <row r="121" spans="3:15">
      <c r="C121" s="710">
        <f>IF(D94="","-",+C120+1)</f>
        <v>2034</v>
      </c>
      <c r="D121" s="663">
        <f t="shared" si="1"/>
        <v>706378.19999999902</v>
      </c>
      <c r="E121" s="717">
        <f t="shared" si="5"/>
        <v>20278.8</v>
      </c>
      <c r="F121" s="663">
        <f t="shared" si="0"/>
        <v>686099.39999999898</v>
      </c>
      <c r="G121" s="1261">
        <f t="shared" si="2"/>
        <v>88643.50034314589</v>
      </c>
      <c r="H121" s="1264">
        <f t="shared" si="3"/>
        <v>88643.50034314589</v>
      </c>
      <c r="I121" s="714">
        <f t="shared" si="4"/>
        <v>0</v>
      </c>
      <c r="J121" s="714"/>
      <c r="K121" s="861"/>
      <c r="L121" s="720"/>
      <c r="M121" s="861"/>
      <c r="N121" s="720"/>
      <c r="O121" s="720"/>
    </row>
    <row r="122" spans="3:15">
      <c r="C122" s="710">
        <f>IF(D94="","-",+C121+1)</f>
        <v>2035</v>
      </c>
      <c r="D122" s="663">
        <f t="shared" si="1"/>
        <v>686099.39999999898</v>
      </c>
      <c r="E122" s="717">
        <f t="shared" si="5"/>
        <v>20278.8</v>
      </c>
      <c r="F122" s="663">
        <f t="shared" si="0"/>
        <v>665820.59999999893</v>
      </c>
      <c r="G122" s="1261">
        <f t="shared" si="2"/>
        <v>86652.295478782413</v>
      </c>
      <c r="H122" s="1264">
        <f t="shared" si="3"/>
        <v>86652.295478782413</v>
      </c>
      <c r="I122" s="714">
        <f t="shared" si="4"/>
        <v>0</v>
      </c>
      <c r="J122" s="714"/>
      <c r="K122" s="861"/>
      <c r="L122" s="720"/>
      <c r="M122" s="861"/>
      <c r="N122" s="720"/>
      <c r="O122" s="720"/>
    </row>
    <row r="123" spans="3:15">
      <c r="C123" s="710">
        <f>IF(D94="","-",+C122+1)</f>
        <v>2036</v>
      </c>
      <c r="D123" s="663">
        <f t="shared" si="1"/>
        <v>665820.59999999893</v>
      </c>
      <c r="E123" s="717">
        <f t="shared" si="5"/>
        <v>20278.8</v>
      </c>
      <c r="F123" s="663">
        <f t="shared" si="0"/>
        <v>645541.79999999888</v>
      </c>
      <c r="G123" s="1261">
        <f t="shared" si="2"/>
        <v>84661.090614418936</v>
      </c>
      <c r="H123" s="1264">
        <f t="shared" si="3"/>
        <v>84661.090614418936</v>
      </c>
      <c r="I123" s="714">
        <f t="shared" si="4"/>
        <v>0</v>
      </c>
      <c r="J123" s="714"/>
      <c r="K123" s="861"/>
      <c r="L123" s="720"/>
      <c r="M123" s="861"/>
      <c r="N123" s="720"/>
      <c r="O123" s="720"/>
    </row>
    <row r="124" spans="3:15">
      <c r="C124" s="710">
        <f>IF(D94="","-",+C123+1)</f>
        <v>2037</v>
      </c>
      <c r="D124" s="663">
        <f t="shared" si="1"/>
        <v>645541.79999999888</v>
      </c>
      <c r="E124" s="717">
        <f t="shared" si="5"/>
        <v>20278.8</v>
      </c>
      <c r="F124" s="663">
        <f t="shared" si="0"/>
        <v>625262.99999999884</v>
      </c>
      <c r="G124" s="1261">
        <f t="shared" si="2"/>
        <v>82669.885750055444</v>
      </c>
      <c r="H124" s="1264">
        <f t="shared" si="3"/>
        <v>82669.885750055444</v>
      </c>
      <c r="I124" s="714">
        <f t="shared" si="4"/>
        <v>0</v>
      </c>
      <c r="J124" s="714"/>
      <c r="K124" s="861"/>
      <c r="L124" s="720"/>
      <c r="M124" s="861"/>
      <c r="N124" s="720"/>
      <c r="O124" s="720"/>
    </row>
    <row r="125" spans="3:15">
      <c r="C125" s="710">
        <f>IF(D94="","-",+C124+1)</f>
        <v>2038</v>
      </c>
      <c r="D125" s="663">
        <f t="shared" si="1"/>
        <v>625262.99999999884</v>
      </c>
      <c r="E125" s="717">
        <f t="shared" si="5"/>
        <v>20278.8</v>
      </c>
      <c r="F125" s="663">
        <f t="shared" si="0"/>
        <v>604984.19999999879</v>
      </c>
      <c r="G125" s="1261">
        <f t="shared" si="2"/>
        <v>80678.680885691967</v>
      </c>
      <c r="H125" s="1264">
        <f t="shared" si="3"/>
        <v>80678.680885691967</v>
      </c>
      <c r="I125" s="714">
        <f t="shared" si="4"/>
        <v>0</v>
      </c>
      <c r="J125" s="714"/>
      <c r="K125" s="861"/>
      <c r="L125" s="720"/>
      <c r="M125" s="861"/>
      <c r="N125" s="720"/>
      <c r="O125" s="720"/>
    </row>
    <row r="126" spans="3:15">
      <c r="C126" s="710">
        <f>IF(D94="","-",+C125+1)</f>
        <v>2039</v>
      </c>
      <c r="D126" s="663">
        <f t="shared" si="1"/>
        <v>604984.19999999879</v>
      </c>
      <c r="E126" s="717">
        <f t="shared" si="5"/>
        <v>20278.8</v>
      </c>
      <c r="F126" s="663">
        <f t="shared" si="0"/>
        <v>584705.39999999874</v>
      </c>
      <c r="G126" s="1261">
        <f t="shared" si="2"/>
        <v>78687.47602132849</v>
      </c>
      <c r="H126" s="1264">
        <f t="shared" si="3"/>
        <v>78687.47602132849</v>
      </c>
      <c r="I126" s="714">
        <f t="shared" si="4"/>
        <v>0</v>
      </c>
      <c r="J126" s="714"/>
      <c r="K126" s="861"/>
      <c r="L126" s="720"/>
      <c r="M126" s="861"/>
      <c r="N126" s="720"/>
      <c r="O126" s="720"/>
    </row>
    <row r="127" spans="3:15">
      <c r="C127" s="710">
        <f>IF(D94="","-",+C126+1)</f>
        <v>2040</v>
      </c>
      <c r="D127" s="663">
        <f t="shared" si="1"/>
        <v>584705.39999999874</v>
      </c>
      <c r="E127" s="717">
        <f t="shared" si="5"/>
        <v>20278.8</v>
      </c>
      <c r="F127" s="663">
        <f t="shared" si="0"/>
        <v>564426.5999999987</v>
      </c>
      <c r="G127" s="1261">
        <f t="shared" si="2"/>
        <v>76696.271156965013</v>
      </c>
      <c r="H127" s="1264">
        <f t="shared" si="3"/>
        <v>76696.271156965013</v>
      </c>
      <c r="I127" s="714">
        <f t="shared" si="4"/>
        <v>0</v>
      </c>
      <c r="J127" s="714"/>
      <c r="K127" s="861"/>
      <c r="L127" s="720"/>
      <c r="M127" s="861"/>
      <c r="N127" s="720"/>
      <c r="O127" s="720"/>
    </row>
    <row r="128" spans="3:15">
      <c r="C128" s="710">
        <f>IF(D94="","-",+C127+1)</f>
        <v>2041</v>
      </c>
      <c r="D128" s="663">
        <f t="shared" si="1"/>
        <v>564426.5999999987</v>
      </c>
      <c r="E128" s="717">
        <f t="shared" si="5"/>
        <v>20278.8</v>
      </c>
      <c r="F128" s="663">
        <f t="shared" si="0"/>
        <v>544147.79999999865</v>
      </c>
      <c r="G128" s="1262">
        <f t="shared" si="2"/>
        <v>74705.066292601536</v>
      </c>
      <c r="H128" s="1264">
        <f t="shared" si="3"/>
        <v>74705.066292601536</v>
      </c>
      <c r="I128" s="714">
        <f t="shared" si="4"/>
        <v>0</v>
      </c>
      <c r="J128" s="714"/>
      <c r="K128" s="861"/>
      <c r="L128" s="720"/>
      <c r="M128" s="861"/>
      <c r="N128" s="720"/>
      <c r="O128" s="720"/>
    </row>
    <row r="129" spans="3:15">
      <c r="C129" s="710">
        <f>IF(D94="","-",+C128+1)</f>
        <v>2042</v>
      </c>
      <c r="D129" s="663">
        <f t="shared" si="1"/>
        <v>544147.79999999865</v>
      </c>
      <c r="E129" s="717">
        <f t="shared" si="5"/>
        <v>20278.8</v>
      </c>
      <c r="F129" s="663">
        <f t="shared" si="0"/>
        <v>523868.99999999866</v>
      </c>
      <c r="G129" s="1261">
        <f t="shared" si="2"/>
        <v>72713.861428238044</v>
      </c>
      <c r="H129" s="1264">
        <f t="shared" si="3"/>
        <v>72713.861428238044</v>
      </c>
      <c r="I129" s="714">
        <f t="shared" si="4"/>
        <v>0</v>
      </c>
      <c r="J129" s="714"/>
      <c r="K129" s="861"/>
      <c r="L129" s="720"/>
      <c r="M129" s="861"/>
      <c r="N129" s="720"/>
      <c r="O129" s="720"/>
    </row>
    <row r="130" spans="3:15">
      <c r="C130" s="710">
        <f>IF(D94="","-",+C129+1)</f>
        <v>2043</v>
      </c>
      <c r="D130" s="663">
        <f t="shared" si="1"/>
        <v>523868.99999999866</v>
      </c>
      <c r="E130" s="717">
        <f t="shared" si="5"/>
        <v>20278.8</v>
      </c>
      <c r="F130" s="663">
        <f t="shared" si="0"/>
        <v>503590.19999999867</v>
      </c>
      <c r="G130" s="1261">
        <f t="shared" si="2"/>
        <v>70722.656563874581</v>
      </c>
      <c r="H130" s="1264">
        <f t="shared" si="3"/>
        <v>70722.656563874581</v>
      </c>
      <c r="I130" s="714">
        <f t="shared" si="4"/>
        <v>0</v>
      </c>
      <c r="J130" s="714"/>
      <c r="K130" s="861"/>
      <c r="L130" s="720"/>
      <c r="M130" s="861"/>
      <c r="N130" s="720"/>
      <c r="O130" s="720"/>
    </row>
    <row r="131" spans="3:15">
      <c r="C131" s="710">
        <f>IF(D94="","-",+C130+1)</f>
        <v>2044</v>
      </c>
      <c r="D131" s="663">
        <f t="shared" si="1"/>
        <v>503590.19999999867</v>
      </c>
      <c r="E131" s="717">
        <f t="shared" si="5"/>
        <v>20278.8</v>
      </c>
      <c r="F131" s="663">
        <f t="shared" si="0"/>
        <v>483311.39999999868</v>
      </c>
      <c r="G131" s="1261">
        <f t="shared" si="2"/>
        <v>68731.451699511104</v>
      </c>
      <c r="H131" s="1264">
        <f t="shared" si="3"/>
        <v>68731.451699511104</v>
      </c>
      <c r="I131" s="714">
        <f t="shared" si="4"/>
        <v>0</v>
      </c>
      <c r="J131" s="714"/>
      <c r="K131" s="861"/>
      <c r="L131" s="720"/>
      <c r="M131" s="861"/>
      <c r="N131" s="720"/>
      <c r="O131" s="720"/>
    </row>
    <row r="132" spans="3:15">
      <c r="C132" s="710">
        <f>IF(D94="","-",+C131+1)</f>
        <v>2045</v>
      </c>
      <c r="D132" s="663">
        <f t="shared" si="1"/>
        <v>483311.39999999868</v>
      </c>
      <c r="E132" s="717">
        <f t="shared" si="5"/>
        <v>20278.8</v>
      </c>
      <c r="F132" s="663">
        <f t="shared" si="0"/>
        <v>463032.5999999987</v>
      </c>
      <c r="G132" s="1261">
        <f t="shared" si="2"/>
        <v>66740.246835147627</v>
      </c>
      <c r="H132" s="1264">
        <f t="shared" si="3"/>
        <v>66740.246835147627</v>
      </c>
      <c r="I132" s="714">
        <f t="shared" si="4"/>
        <v>0</v>
      </c>
      <c r="J132" s="714"/>
      <c r="K132" s="861"/>
      <c r="L132" s="720"/>
      <c r="M132" s="861"/>
      <c r="N132" s="720"/>
      <c r="O132" s="720"/>
    </row>
    <row r="133" spans="3:15">
      <c r="C133" s="710">
        <f>IF(D94="","-",+C132+1)</f>
        <v>2046</v>
      </c>
      <c r="D133" s="663">
        <f t="shared" si="1"/>
        <v>463032.5999999987</v>
      </c>
      <c r="E133" s="717">
        <f t="shared" si="5"/>
        <v>20278.8</v>
      </c>
      <c r="F133" s="663">
        <f t="shared" si="0"/>
        <v>442753.79999999871</v>
      </c>
      <c r="G133" s="1261">
        <f t="shared" si="2"/>
        <v>64749.04197078415</v>
      </c>
      <c r="H133" s="1264">
        <f t="shared" si="3"/>
        <v>64749.04197078415</v>
      </c>
      <c r="I133" s="714">
        <f t="shared" si="4"/>
        <v>0</v>
      </c>
      <c r="J133" s="714"/>
      <c r="K133" s="861"/>
      <c r="L133" s="720"/>
      <c r="M133" s="861"/>
      <c r="N133" s="720"/>
      <c r="O133" s="720"/>
    </row>
    <row r="134" spans="3:15">
      <c r="C134" s="710">
        <f>IF(D94="","-",+C133+1)</f>
        <v>2047</v>
      </c>
      <c r="D134" s="663">
        <f t="shared" si="1"/>
        <v>442753.79999999871</v>
      </c>
      <c r="E134" s="717">
        <f t="shared" si="5"/>
        <v>20278.8</v>
      </c>
      <c r="F134" s="663">
        <f t="shared" si="0"/>
        <v>422474.99999999872</v>
      </c>
      <c r="G134" s="1261">
        <f t="shared" si="2"/>
        <v>62757.837106420688</v>
      </c>
      <c r="H134" s="1264">
        <f t="shared" si="3"/>
        <v>62757.837106420688</v>
      </c>
      <c r="I134" s="714">
        <f t="shared" si="4"/>
        <v>0</v>
      </c>
      <c r="J134" s="714"/>
      <c r="K134" s="861"/>
      <c r="L134" s="720"/>
      <c r="M134" s="861"/>
      <c r="N134" s="720"/>
      <c r="O134" s="720"/>
    </row>
    <row r="135" spans="3:15">
      <c r="C135" s="710">
        <f>IF(D94="","-",+C134+1)</f>
        <v>2048</v>
      </c>
      <c r="D135" s="663">
        <f t="shared" si="1"/>
        <v>422474.99999999872</v>
      </c>
      <c r="E135" s="717">
        <f t="shared" si="5"/>
        <v>20278.8</v>
      </c>
      <c r="F135" s="663">
        <f t="shared" si="0"/>
        <v>402196.19999999873</v>
      </c>
      <c r="G135" s="1261">
        <f t="shared" si="2"/>
        <v>60766.632242057211</v>
      </c>
      <c r="H135" s="1264">
        <f t="shared" si="3"/>
        <v>60766.632242057211</v>
      </c>
      <c r="I135" s="714">
        <f t="shared" si="4"/>
        <v>0</v>
      </c>
      <c r="J135" s="714"/>
      <c r="K135" s="861"/>
      <c r="L135" s="720"/>
      <c r="M135" s="861"/>
      <c r="N135" s="720"/>
      <c r="O135" s="720"/>
    </row>
    <row r="136" spans="3:15">
      <c r="C136" s="710">
        <f>IF(D94="","-",+C135+1)</f>
        <v>2049</v>
      </c>
      <c r="D136" s="663">
        <f t="shared" si="1"/>
        <v>402196.19999999873</v>
      </c>
      <c r="E136" s="717">
        <f t="shared" si="5"/>
        <v>20278.8</v>
      </c>
      <c r="F136" s="663">
        <f t="shared" si="0"/>
        <v>381917.39999999874</v>
      </c>
      <c r="G136" s="1261">
        <f t="shared" si="2"/>
        <v>58775.427377693733</v>
      </c>
      <c r="H136" s="1264">
        <f t="shared" si="3"/>
        <v>58775.427377693733</v>
      </c>
      <c r="I136" s="714">
        <f t="shared" si="4"/>
        <v>0</v>
      </c>
      <c r="J136" s="714"/>
      <c r="K136" s="861"/>
      <c r="L136" s="720"/>
      <c r="M136" s="861"/>
      <c r="N136" s="720"/>
      <c r="O136" s="720"/>
    </row>
    <row r="137" spans="3:15">
      <c r="C137" s="710">
        <f>IF(D94="","-",+C136+1)</f>
        <v>2050</v>
      </c>
      <c r="D137" s="663">
        <f t="shared" si="1"/>
        <v>381917.39999999874</v>
      </c>
      <c r="E137" s="717">
        <f t="shared" si="5"/>
        <v>20278.8</v>
      </c>
      <c r="F137" s="663">
        <f t="shared" si="0"/>
        <v>361638.59999999875</v>
      </c>
      <c r="G137" s="1261">
        <f t="shared" si="2"/>
        <v>56784.222513330256</v>
      </c>
      <c r="H137" s="1264">
        <f t="shared" si="3"/>
        <v>56784.222513330256</v>
      </c>
      <c r="I137" s="714">
        <f t="shared" si="4"/>
        <v>0</v>
      </c>
      <c r="J137" s="714"/>
      <c r="K137" s="861"/>
      <c r="L137" s="720"/>
      <c r="M137" s="861"/>
      <c r="N137" s="720"/>
      <c r="O137" s="720"/>
    </row>
    <row r="138" spans="3:15">
      <c r="C138" s="710">
        <f>IF(D94="","-",+C137+1)</f>
        <v>2051</v>
      </c>
      <c r="D138" s="663">
        <f t="shared" si="1"/>
        <v>361638.59999999875</v>
      </c>
      <c r="E138" s="717">
        <f t="shared" si="5"/>
        <v>20278.8</v>
      </c>
      <c r="F138" s="663">
        <f t="shared" si="0"/>
        <v>341359.79999999877</v>
      </c>
      <c r="G138" s="1261">
        <f t="shared" si="2"/>
        <v>54793.017648966794</v>
      </c>
      <c r="H138" s="1264">
        <f t="shared" si="3"/>
        <v>54793.017648966794</v>
      </c>
      <c r="I138" s="714">
        <f t="shared" si="4"/>
        <v>0</v>
      </c>
      <c r="J138" s="714"/>
      <c r="K138" s="861"/>
      <c r="L138" s="720"/>
      <c r="M138" s="861"/>
      <c r="N138" s="720"/>
      <c r="O138" s="720"/>
    </row>
    <row r="139" spans="3:15">
      <c r="C139" s="710">
        <f>IF(D94="","-",+C138+1)</f>
        <v>2052</v>
      </c>
      <c r="D139" s="663">
        <f t="shared" si="1"/>
        <v>341359.79999999877</v>
      </c>
      <c r="E139" s="717">
        <f t="shared" si="5"/>
        <v>20278.8</v>
      </c>
      <c r="F139" s="663">
        <f t="shared" si="0"/>
        <v>321080.99999999878</v>
      </c>
      <c r="G139" s="1261">
        <f t="shared" si="2"/>
        <v>52801.812784603302</v>
      </c>
      <c r="H139" s="1264">
        <f t="shared" si="3"/>
        <v>52801.812784603302</v>
      </c>
      <c r="I139" s="714">
        <f t="shared" si="4"/>
        <v>0</v>
      </c>
      <c r="J139" s="714"/>
      <c r="K139" s="861"/>
      <c r="L139" s="720"/>
      <c r="M139" s="861"/>
      <c r="N139" s="720"/>
      <c r="O139" s="720"/>
    </row>
    <row r="140" spans="3:15">
      <c r="C140" s="710">
        <f>IF(D94="","-",+C139+1)</f>
        <v>2053</v>
      </c>
      <c r="D140" s="663">
        <f t="shared" si="1"/>
        <v>321080.99999999878</v>
      </c>
      <c r="E140" s="717">
        <f t="shared" si="5"/>
        <v>20278.8</v>
      </c>
      <c r="F140" s="663">
        <f t="shared" si="0"/>
        <v>300802.19999999879</v>
      </c>
      <c r="G140" s="1261">
        <f t="shared" si="2"/>
        <v>50810.60792023984</v>
      </c>
      <c r="H140" s="1264">
        <f t="shared" si="3"/>
        <v>50810.60792023984</v>
      </c>
      <c r="I140" s="714">
        <f t="shared" si="4"/>
        <v>0</v>
      </c>
      <c r="J140" s="714"/>
      <c r="K140" s="861"/>
      <c r="L140" s="720"/>
      <c r="M140" s="861"/>
      <c r="N140" s="720"/>
      <c r="O140" s="720"/>
    </row>
    <row r="141" spans="3:15">
      <c r="C141" s="710">
        <f>IF(D94="","-",+C140+1)</f>
        <v>2054</v>
      </c>
      <c r="D141" s="663">
        <f t="shared" si="1"/>
        <v>300802.19999999879</v>
      </c>
      <c r="E141" s="717">
        <f t="shared" si="5"/>
        <v>20278.8</v>
      </c>
      <c r="F141" s="663">
        <f t="shared" si="0"/>
        <v>280523.3999999988</v>
      </c>
      <c r="G141" s="1261">
        <f t="shared" si="2"/>
        <v>48819.403055876362</v>
      </c>
      <c r="H141" s="1264">
        <f t="shared" si="3"/>
        <v>48819.403055876362</v>
      </c>
      <c r="I141" s="714">
        <f t="shared" si="4"/>
        <v>0</v>
      </c>
      <c r="J141" s="714"/>
      <c r="K141" s="861"/>
      <c r="L141" s="720"/>
      <c r="M141" s="861"/>
      <c r="N141" s="720"/>
      <c r="O141" s="720"/>
    </row>
    <row r="142" spans="3:15">
      <c r="C142" s="710">
        <f>IF(D94="","-",+C141+1)</f>
        <v>2055</v>
      </c>
      <c r="D142" s="663">
        <f t="shared" si="1"/>
        <v>280523.3999999988</v>
      </c>
      <c r="E142" s="717">
        <f t="shared" si="5"/>
        <v>20278.8</v>
      </c>
      <c r="F142" s="663">
        <f t="shared" si="0"/>
        <v>260244.59999999881</v>
      </c>
      <c r="G142" s="1261">
        <f t="shared" si="2"/>
        <v>46828.198191512885</v>
      </c>
      <c r="H142" s="1264">
        <f t="shared" si="3"/>
        <v>46828.198191512885</v>
      </c>
      <c r="I142" s="714">
        <f t="shared" si="4"/>
        <v>0</v>
      </c>
      <c r="J142" s="714"/>
      <c r="K142" s="861"/>
      <c r="L142" s="720"/>
      <c r="M142" s="861"/>
      <c r="N142" s="720"/>
      <c r="O142" s="720"/>
    </row>
    <row r="143" spans="3:15">
      <c r="C143" s="710">
        <f>IF(D94="","-",+C142+1)</f>
        <v>2056</v>
      </c>
      <c r="D143" s="663">
        <f t="shared" si="1"/>
        <v>260244.59999999881</v>
      </c>
      <c r="E143" s="717">
        <f t="shared" si="5"/>
        <v>20278.8</v>
      </c>
      <c r="F143" s="663">
        <f t="shared" si="0"/>
        <v>239965.79999999882</v>
      </c>
      <c r="G143" s="1261">
        <f t="shared" si="2"/>
        <v>44836.993327149408</v>
      </c>
      <c r="H143" s="1264">
        <f t="shared" si="3"/>
        <v>44836.993327149408</v>
      </c>
      <c r="I143" s="714">
        <f t="shared" si="4"/>
        <v>0</v>
      </c>
      <c r="J143" s="714"/>
      <c r="K143" s="861"/>
      <c r="L143" s="720"/>
      <c r="M143" s="861"/>
      <c r="N143" s="720"/>
      <c r="O143" s="720"/>
    </row>
    <row r="144" spans="3:15">
      <c r="C144" s="710">
        <f>IF(D94="","-",+C143+1)</f>
        <v>2057</v>
      </c>
      <c r="D144" s="663">
        <f t="shared" si="1"/>
        <v>239965.79999999882</v>
      </c>
      <c r="E144" s="717">
        <f t="shared" si="5"/>
        <v>20278.8</v>
      </c>
      <c r="F144" s="663">
        <f t="shared" si="0"/>
        <v>219686.99999999884</v>
      </c>
      <c r="G144" s="1261">
        <f t="shared" si="2"/>
        <v>42845.788462785938</v>
      </c>
      <c r="H144" s="1264">
        <f t="shared" si="3"/>
        <v>42845.788462785938</v>
      </c>
      <c r="I144" s="714">
        <f t="shared" si="4"/>
        <v>0</v>
      </c>
      <c r="J144" s="714"/>
      <c r="K144" s="861"/>
      <c r="L144" s="720"/>
      <c r="M144" s="861"/>
      <c r="N144" s="720"/>
      <c r="O144" s="720"/>
    </row>
    <row r="145" spans="3:15">
      <c r="C145" s="710">
        <f>IF(D94="","-",+C144+1)</f>
        <v>2058</v>
      </c>
      <c r="D145" s="663">
        <f t="shared" si="1"/>
        <v>219686.99999999884</v>
      </c>
      <c r="E145" s="717">
        <f t="shared" si="5"/>
        <v>20278.8</v>
      </c>
      <c r="F145" s="663">
        <f t="shared" si="0"/>
        <v>199408.19999999885</v>
      </c>
      <c r="G145" s="1261">
        <f t="shared" si="2"/>
        <v>40854.583598422469</v>
      </c>
      <c r="H145" s="1264">
        <f t="shared" si="3"/>
        <v>40854.583598422469</v>
      </c>
      <c r="I145" s="714">
        <f t="shared" si="4"/>
        <v>0</v>
      </c>
      <c r="J145" s="714"/>
      <c r="K145" s="861"/>
      <c r="L145" s="720"/>
      <c r="M145" s="861"/>
      <c r="N145" s="720"/>
      <c r="O145" s="720"/>
    </row>
    <row r="146" spans="3:15">
      <c r="C146" s="710">
        <f>IF(D94="","-",+C145+1)</f>
        <v>2059</v>
      </c>
      <c r="D146" s="663">
        <f t="shared" si="1"/>
        <v>199408.19999999885</v>
      </c>
      <c r="E146" s="717">
        <f t="shared" si="5"/>
        <v>20278.8</v>
      </c>
      <c r="F146" s="663">
        <f t="shared" si="0"/>
        <v>179129.39999999886</v>
      </c>
      <c r="G146" s="1261">
        <f t="shared" si="2"/>
        <v>38863.378734058992</v>
      </c>
      <c r="H146" s="1264">
        <f t="shared" si="3"/>
        <v>38863.378734058992</v>
      </c>
      <c r="I146" s="714">
        <f t="shared" si="4"/>
        <v>0</v>
      </c>
      <c r="J146" s="714"/>
      <c r="K146" s="861"/>
      <c r="L146" s="720"/>
      <c r="M146" s="861"/>
      <c r="N146" s="720"/>
      <c r="O146" s="720"/>
    </row>
    <row r="147" spans="3:15">
      <c r="C147" s="710">
        <f>IF(D94="","-",+C146+1)</f>
        <v>2060</v>
      </c>
      <c r="D147" s="663">
        <f t="shared" si="1"/>
        <v>179129.39999999886</v>
      </c>
      <c r="E147" s="717">
        <f t="shared" si="5"/>
        <v>20278.8</v>
      </c>
      <c r="F147" s="663">
        <f t="shared" si="0"/>
        <v>158850.59999999887</v>
      </c>
      <c r="G147" s="1261">
        <f t="shared" si="2"/>
        <v>36872.173869695514</v>
      </c>
      <c r="H147" s="1264">
        <f t="shared" si="3"/>
        <v>36872.173869695514</v>
      </c>
      <c r="I147" s="714">
        <f t="shared" si="4"/>
        <v>0</v>
      </c>
      <c r="J147" s="714"/>
      <c r="K147" s="861"/>
      <c r="L147" s="720"/>
      <c r="M147" s="861"/>
      <c r="N147" s="720"/>
      <c r="O147" s="720"/>
    </row>
    <row r="148" spans="3:15">
      <c r="C148" s="710">
        <f>IF(D94="","-",+C147+1)</f>
        <v>2061</v>
      </c>
      <c r="D148" s="663">
        <f t="shared" si="1"/>
        <v>158850.59999999887</v>
      </c>
      <c r="E148" s="717">
        <f t="shared" si="5"/>
        <v>20278.8</v>
      </c>
      <c r="F148" s="663">
        <f t="shared" si="0"/>
        <v>138571.79999999888</v>
      </c>
      <c r="G148" s="1261">
        <f t="shared" si="2"/>
        <v>34880.969005332037</v>
      </c>
      <c r="H148" s="1264">
        <f t="shared" si="3"/>
        <v>34880.969005332037</v>
      </c>
      <c r="I148" s="714">
        <f t="shared" si="4"/>
        <v>0</v>
      </c>
      <c r="J148" s="714"/>
      <c r="K148" s="861"/>
      <c r="L148" s="720"/>
      <c r="M148" s="861"/>
      <c r="N148" s="720"/>
      <c r="O148" s="720"/>
    </row>
    <row r="149" spans="3:15">
      <c r="C149" s="710">
        <f>IF(D94="","-",+C148+1)</f>
        <v>2062</v>
      </c>
      <c r="D149" s="663">
        <f t="shared" si="1"/>
        <v>138571.79999999888</v>
      </c>
      <c r="E149" s="717">
        <f t="shared" si="5"/>
        <v>20278.8</v>
      </c>
      <c r="F149" s="663">
        <f t="shared" si="0"/>
        <v>118292.99999999888</v>
      </c>
      <c r="G149" s="1261">
        <f t="shared" si="2"/>
        <v>32889.764140968568</v>
      </c>
      <c r="H149" s="1264">
        <f t="shared" si="3"/>
        <v>32889.764140968568</v>
      </c>
      <c r="I149" s="714">
        <f t="shared" si="4"/>
        <v>0</v>
      </c>
      <c r="J149" s="714"/>
      <c r="K149" s="861"/>
      <c r="L149" s="720"/>
      <c r="M149" s="861"/>
      <c r="N149" s="720"/>
      <c r="O149" s="720"/>
    </row>
    <row r="150" spans="3:15">
      <c r="C150" s="710">
        <f>IF(D94="","-",+C149+1)</f>
        <v>2063</v>
      </c>
      <c r="D150" s="663">
        <f t="shared" si="1"/>
        <v>118292.99999999888</v>
      </c>
      <c r="E150" s="717">
        <f t="shared" si="5"/>
        <v>20278.8</v>
      </c>
      <c r="F150" s="663">
        <f t="shared" si="0"/>
        <v>98014.199999998877</v>
      </c>
      <c r="G150" s="1261">
        <f t="shared" si="2"/>
        <v>30898.55927660509</v>
      </c>
      <c r="H150" s="1264">
        <f t="shared" si="3"/>
        <v>30898.55927660509</v>
      </c>
      <c r="I150" s="714">
        <f t="shared" si="4"/>
        <v>0</v>
      </c>
      <c r="J150" s="714"/>
      <c r="K150" s="861"/>
      <c r="L150" s="720"/>
      <c r="M150" s="861"/>
      <c r="N150" s="720"/>
      <c r="O150" s="720"/>
    </row>
    <row r="151" spans="3:15">
      <c r="C151" s="710">
        <f>IF(D94="","-",+C150+1)</f>
        <v>2064</v>
      </c>
      <c r="D151" s="663">
        <f t="shared" si="1"/>
        <v>98014.199999998877</v>
      </c>
      <c r="E151" s="717">
        <f t="shared" si="5"/>
        <v>20278.8</v>
      </c>
      <c r="F151" s="663">
        <f t="shared" si="0"/>
        <v>77735.399999998874</v>
      </c>
      <c r="G151" s="1261">
        <f t="shared" si="2"/>
        <v>28907.354412241617</v>
      </c>
      <c r="H151" s="1264">
        <f t="shared" si="3"/>
        <v>28907.354412241617</v>
      </c>
      <c r="I151" s="714">
        <f t="shared" si="4"/>
        <v>0</v>
      </c>
      <c r="J151" s="714"/>
      <c r="K151" s="861"/>
      <c r="L151" s="720"/>
      <c r="M151" s="861"/>
      <c r="N151" s="720"/>
      <c r="O151" s="720"/>
    </row>
    <row r="152" spans="3:15">
      <c r="C152" s="710">
        <f>IF(D94="","-",+C151+1)</f>
        <v>2065</v>
      </c>
      <c r="D152" s="663">
        <f t="shared" si="1"/>
        <v>77735.399999998874</v>
      </c>
      <c r="E152" s="717">
        <f t="shared" si="5"/>
        <v>20278.8</v>
      </c>
      <c r="F152" s="663">
        <f t="shared" si="0"/>
        <v>57456.599999998871</v>
      </c>
      <c r="G152" s="1261">
        <f t="shared" si="2"/>
        <v>26916.14954787814</v>
      </c>
      <c r="H152" s="1264">
        <f t="shared" si="3"/>
        <v>26916.14954787814</v>
      </c>
      <c r="I152" s="714">
        <f t="shared" si="4"/>
        <v>0</v>
      </c>
      <c r="J152" s="714"/>
      <c r="K152" s="861"/>
      <c r="L152" s="720"/>
      <c r="M152" s="861"/>
      <c r="N152" s="720"/>
      <c r="O152" s="720"/>
    </row>
    <row r="153" spans="3:15">
      <c r="C153" s="710">
        <f>IF(D94="","-",+C152+1)</f>
        <v>2066</v>
      </c>
      <c r="D153" s="663">
        <f t="shared" si="1"/>
        <v>57456.599999998871</v>
      </c>
      <c r="E153" s="717">
        <f t="shared" si="5"/>
        <v>20278.8</v>
      </c>
      <c r="F153" s="663">
        <f t="shared" si="0"/>
        <v>37177.799999998868</v>
      </c>
      <c r="G153" s="1261">
        <f t="shared" si="2"/>
        <v>24924.944683514666</v>
      </c>
      <c r="H153" s="1264">
        <f t="shared" si="3"/>
        <v>24924.944683514666</v>
      </c>
      <c r="I153" s="714">
        <f t="shared" si="4"/>
        <v>0</v>
      </c>
      <c r="J153" s="714"/>
      <c r="K153" s="861"/>
      <c r="L153" s="720"/>
      <c r="M153" s="861"/>
      <c r="N153" s="720"/>
      <c r="O153" s="720"/>
    </row>
    <row r="154" spans="3:15">
      <c r="C154" s="710">
        <f>IF(D94="","-",+C153+1)</f>
        <v>2067</v>
      </c>
      <c r="D154" s="663">
        <f t="shared" si="1"/>
        <v>37177.799999998868</v>
      </c>
      <c r="E154" s="717">
        <f t="shared" si="5"/>
        <v>20278.8</v>
      </c>
      <c r="F154" s="663">
        <f t="shared" si="0"/>
        <v>16898.999999998869</v>
      </c>
      <c r="G154" s="1261">
        <f t="shared" si="2"/>
        <v>22933.739819151189</v>
      </c>
      <c r="H154" s="1264">
        <f t="shared" si="3"/>
        <v>22933.739819151189</v>
      </c>
      <c r="I154" s="714">
        <f t="shared" si="4"/>
        <v>0</v>
      </c>
      <c r="J154" s="714"/>
      <c r="K154" s="861"/>
      <c r="L154" s="720"/>
      <c r="M154" s="861"/>
      <c r="N154" s="720"/>
      <c r="O154" s="720"/>
    </row>
    <row r="155" spans="3:15">
      <c r="C155" s="710">
        <f>IF(D94="","-",+C154+1)</f>
        <v>2068</v>
      </c>
      <c r="D155" s="663">
        <f t="shared" si="1"/>
        <v>16898.999999998869</v>
      </c>
      <c r="E155" s="717">
        <f t="shared" si="5"/>
        <v>16898.999999998869</v>
      </c>
      <c r="F155" s="663">
        <f t="shared" si="0"/>
        <v>0</v>
      </c>
      <c r="G155" s="1261">
        <f t="shared" si="2"/>
        <v>17728.668693483596</v>
      </c>
      <c r="H155" s="1264">
        <f t="shared" si="3"/>
        <v>17728.668693483596</v>
      </c>
      <c r="I155" s="714">
        <f t="shared" si="4"/>
        <v>0</v>
      </c>
      <c r="J155" s="714"/>
      <c r="K155" s="861"/>
      <c r="L155" s="720"/>
      <c r="M155" s="861"/>
      <c r="N155" s="720"/>
      <c r="O155" s="720"/>
    </row>
    <row r="156" spans="3:15">
      <c r="C156" s="710">
        <f>IF(D94="","-",+C155+1)</f>
        <v>2069</v>
      </c>
      <c r="D156" s="663">
        <f t="shared" si="1"/>
        <v>0</v>
      </c>
      <c r="E156" s="717">
        <f t="shared" si="5"/>
        <v>0</v>
      </c>
      <c r="F156" s="663">
        <f t="shared" si="0"/>
        <v>0</v>
      </c>
      <c r="G156" s="1261">
        <f t="shared" si="2"/>
        <v>0</v>
      </c>
      <c r="H156" s="1264">
        <f t="shared" si="3"/>
        <v>0</v>
      </c>
      <c r="I156" s="714">
        <f t="shared" si="4"/>
        <v>0</v>
      </c>
      <c r="J156" s="714"/>
      <c r="K156" s="861"/>
      <c r="L156" s="720"/>
      <c r="M156" s="861"/>
      <c r="N156" s="720"/>
      <c r="O156" s="720"/>
    </row>
    <row r="157" spans="3:15">
      <c r="C157" s="710">
        <f>IF(D94="","-",+C156+1)</f>
        <v>2070</v>
      </c>
      <c r="D157" s="663">
        <f t="shared" si="1"/>
        <v>0</v>
      </c>
      <c r="E157" s="717">
        <f t="shared" si="5"/>
        <v>0</v>
      </c>
      <c r="F157" s="663">
        <f t="shared" si="0"/>
        <v>0</v>
      </c>
      <c r="G157" s="1261">
        <f t="shared" si="2"/>
        <v>0</v>
      </c>
      <c r="H157" s="1264">
        <f t="shared" si="3"/>
        <v>0</v>
      </c>
      <c r="I157" s="714">
        <f t="shared" si="4"/>
        <v>0</v>
      </c>
      <c r="J157" s="714"/>
      <c r="K157" s="861"/>
      <c r="L157" s="720"/>
      <c r="M157" s="861"/>
      <c r="N157" s="720"/>
      <c r="O157" s="720"/>
    </row>
    <row r="158" spans="3:15">
      <c r="C158" s="710">
        <f>IF(D94="","-",+C157+1)</f>
        <v>2071</v>
      </c>
      <c r="D158" s="663">
        <f t="shared" si="1"/>
        <v>0</v>
      </c>
      <c r="E158" s="717">
        <f t="shared" si="5"/>
        <v>0</v>
      </c>
      <c r="F158" s="663">
        <f t="shared" si="0"/>
        <v>0</v>
      </c>
      <c r="G158" s="1261">
        <f t="shared" si="2"/>
        <v>0</v>
      </c>
      <c r="H158" s="1264">
        <f t="shared" si="3"/>
        <v>0</v>
      </c>
      <c r="I158" s="714">
        <f t="shared" si="4"/>
        <v>0</v>
      </c>
      <c r="J158" s="714"/>
      <c r="K158" s="861"/>
      <c r="L158" s="720"/>
      <c r="M158" s="861"/>
      <c r="N158" s="720"/>
      <c r="O158" s="720"/>
    </row>
    <row r="159" spans="3:15" ht="13.5" thickBot="1">
      <c r="C159" s="721">
        <f>IF(D94="","-",+C158+1)</f>
        <v>2072</v>
      </c>
      <c r="D159" s="722">
        <f t="shared" si="1"/>
        <v>0</v>
      </c>
      <c r="E159" s="723">
        <f t="shared" si="5"/>
        <v>0</v>
      </c>
      <c r="F159" s="722">
        <f t="shared" si="0"/>
        <v>0</v>
      </c>
      <c r="G159" s="1271">
        <f t="shared" si="2"/>
        <v>0</v>
      </c>
      <c r="H159" s="1271">
        <f t="shared" si="3"/>
        <v>0</v>
      </c>
      <c r="I159" s="725">
        <f t="shared" si="4"/>
        <v>0</v>
      </c>
      <c r="J159" s="714"/>
      <c r="K159" s="862"/>
      <c r="L159" s="727"/>
      <c r="M159" s="862"/>
      <c r="N159" s="727"/>
      <c r="O159" s="727"/>
    </row>
    <row r="160" spans="3:15">
      <c r="C160" s="663" t="s">
        <v>288</v>
      </c>
      <c r="D160" s="1240"/>
      <c r="E160" s="663"/>
      <c r="F160" s="1240"/>
      <c r="G160" s="1240">
        <f>SUM(G100:G159)</f>
        <v>4218294.9136330765</v>
      </c>
      <c r="H160" s="1240">
        <f>SUM(H100:H159)</f>
        <v>4218294.9136330765</v>
      </c>
      <c r="I160" s="1240">
        <f>SUM(I100:I159)</f>
        <v>0</v>
      </c>
      <c r="J160" s="1240"/>
      <c r="K160" s="1240"/>
      <c r="L160" s="1240"/>
      <c r="M160" s="1240"/>
      <c r="N160" s="1240"/>
      <c r="O160" s="532"/>
    </row>
    <row r="161" spans="3:15">
      <c r="D161" s="553"/>
      <c r="E161" s="532"/>
      <c r="F161" s="532"/>
      <c r="G161" s="532"/>
      <c r="H161" s="1239"/>
      <c r="I161" s="1239"/>
      <c r="J161" s="1240"/>
      <c r="K161" s="1239"/>
      <c r="L161" s="1239"/>
      <c r="M161" s="1239"/>
      <c r="N161" s="1239"/>
      <c r="O161" s="532"/>
    </row>
    <row r="162" spans="3:15">
      <c r="C162" s="532" t="s">
        <v>595</v>
      </c>
      <c r="D162" s="553"/>
      <c r="E162" s="532"/>
      <c r="F162" s="532"/>
      <c r="G162" s="532"/>
      <c r="H162" s="1239"/>
      <c r="I162" s="1239"/>
      <c r="J162" s="1240"/>
      <c r="K162" s="1239"/>
      <c r="L162" s="1239"/>
      <c r="M162" s="1239"/>
      <c r="N162" s="1239"/>
      <c r="O162" s="532"/>
    </row>
    <row r="163" spans="3:15">
      <c r="C163" s="532"/>
      <c r="D163" s="553"/>
      <c r="E163" s="532"/>
      <c r="F163" s="532"/>
      <c r="G163" s="532"/>
      <c r="H163" s="1239"/>
      <c r="I163" s="1239"/>
      <c r="J163" s="1240"/>
      <c r="K163" s="1239"/>
      <c r="L163" s="1239"/>
      <c r="M163" s="1239"/>
      <c r="N163" s="1239"/>
      <c r="O163" s="532"/>
    </row>
    <row r="164" spans="3:15">
      <c r="C164" s="674" t="s">
        <v>895</v>
      </c>
      <c r="D164" s="663"/>
      <c r="E164" s="663"/>
      <c r="F164" s="663"/>
      <c r="G164" s="1281"/>
      <c r="H164" s="1240"/>
      <c r="I164" s="664"/>
      <c r="J164" s="664"/>
      <c r="K164" s="664"/>
      <c r="L164" s="1282"/>
      <c r="M164" s="664"/>
      <c r="N164" s="664"/>
      <c r="O164" s="532"/>
    </row>
    <row r="165" spans="3:15">
      <c r="C165" s="674" t="s">
        <v>475</v>
      </c>
      <c r="D165" s="663"/>
      <c r="E165" s="663"/>
      <c r="F165" s="663"/>
      <c r="G165" s="1240"/>
      <c r="H165" s="1240"/>
      <c r="I165" s="664"/>
      <c r="J165" s="664"/>
      <c r="K165" s="664"/>
      <c r="L165" s="664"/>
      <c r="M165" s="664"/>
      <c r="N165" s="664"/>
      <c r="O165" s="532"/>
    </row>
    <row r="166" spans="3:15">
      <c r="C166" s="662" t="s">
        <v>289</v>
      </c>
      <c r="D166" s="663"/>
      <c r="E166" s="663"/>
      <c r="F166" s="663"/>
      <c r="G166" s="1240"/>
      <c r="H166" s="1240"/>
      <c r="I166" s="664"/>
      <c r="J166" s="664"/>
      <c r="K166" s="664"/>
      <c r="L166" s="664"/>
      <c r="M166" s="664"/>
      <c r="N166" s="664"/>
      <c r="O166" s="532"/>
    </row>
    <row r="167" spans="3:15" ht="12.75" customHeight="1">
      <c r="C167" s="662"/>
      <c r="D167" s="663"/>
      <c r="E167" s="663"/>
      <c r="F167" s="663"/>
      <c r="G167" s="1240"/>
      <c r="H167" s="1240"/>
      <c r="I167" s="664"/>
      <c r="J167" s="664"/>
      <c r="K167" s="664"/>
      <c r="L167" s="664"/>
      <c r="M167" s="664"/>
      <c r="N167" s="664"/>
      <c r="O167" s="532"/>
    </row>
    <row r="168" spans="3:15">
      <c r="C168" s="1606" t="s">
        <v>459</v>
      </c>
      <c r="D168" s="1606"/>
      <c r="E168" s="1606"/>
      <c r="F168" s="1606"/>
      <c r="G168" s="1606"/>
      <c r="H168" s="1606"/>
      <c r="I168" s="1606"/>
      <c r="J168" s="1606"/>
      <c r="K168" s="1606"/>
      <c r="L168" s="1606"/>
      <c r="M168" s="1606"/>
      <c r="N168" s="1606"/>
      <c r="O168" s="1606"/>
    </row>
    <row r="169" spans="3:15">
      <c r="C169" s="1606"/>
      <c r="D169" s="1606"/>
      <c r="E169" s="1606"/>
      <c r="F169" s="1606"/>
      <c r="G169" s="1606"/>
      <c r="H169" s="1606"/>
      <c r="I169" s="1606"/>
      <c r="J169" s="1606"/>
      <c r="K169" s="1606"/>
      <c r="L169" s="1606"/>
      <c r="M169" s="1606"/>
      <c r="N169" s="1606"/>
      <c r="O169" s="1606"/>
    </row>
    <row r="170" spans="3:15">
      <c r="H170" s="1272"/>
    </row>
  </sheetData>
  <mergeCells count="9">
    <mergeCell ref="D89:G89"/>
    <mergeCell ref="K93:O93"/>
    <mergeCell ref="C168:O169"/>
    <mergeCell ref="K22:O23"/>
    <mergeCell ref="A3:O3"/>
    <mergeCell ref="C11:H12"/>
    <mergeCell ref="A4:O4"/>
    <mergeCell ref="A5:O5"/>
    <mergeCell ref="A6:O6"/>
  </mergeCells>
  <phoneticPr fontId="0" type="noConversion"/>
  <conditionalFormatting sqref="C100:C159">
    <cfRule type="cellIs" dxfId="25" priority="20" stopIfTrue="1" operator="equal">
      <formula>$I$93</formula>
    </cfRule>
  </conditionalFormatting>
  <pageMargins left="0.26" right="1.28" top="1" bottom="0.5" header="0.75" footer="0.5"/>
  <pageSetup scale="41" fitToHeight="2" orientation="landscape" r:id="rId1"/>
  <headerFooter alignWithMargins="0">
    <oddHeader>&amp;R&amp;"Arial,Bold"Formula Rate 
&amp;A
Page &amp;P of &amp;N</oddHeader>
  </headerFooter>
  <rowBreaks count="1" manualBreakCount="1">
    <brk id="80"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dimension ref="A1:Q169"/>
  <sheetViews>
    <sheetView view="pageBreakPreview" topLeftCell="A55" zoomScale="85" zoomScaleNormal="100" zoomScaleSheetLayoutView="85" workbookViewId="0">
      <selection activeCell="N111" sqref="N111"/>
    </sheetView>
  </sheetViews>
  <sheetFormatPr defaultColWidth="8.85546875" defaultRowHeight="12.75"/>
  <cols>
    <col min="1" max="1" width="4.5703125" style="319" customWidth="1"/>
    <col min="2" max="2" width="6.5703125" style="401" customWidth="1"/>
    <col min="3" max="3" width="32.42578125" style="319" customWidth="1"/>
    <col min="4" max="4" width="17.5703125" style="413" customWidth="1"/>
    <col min="5" max="8" width="17.5703125" style="319" customWidth="1"/>
    <col min="9" max="9" width="17.5703125" style="579" customWidth="1"/>
    <col min="10" max="10" width="17.5703125" style="319" bestFit="1" customWidth="1"/>
    <col min="11" max="11" width="2.140625" style="303" customWidth="1"/>
    <col min="12" max="12" width="17.5703125" style="532" customWidth="1"/>
    <col min="13" max="13" width="31.85546875" style="532" customWidth="1"/>
    <col min="14" max="15" width="17.5703125" style="532" customWidth="1"/>
    <col min="16" max="16" width="16.5703125" style="532" customWidth="1"/>
    <col min="17" max="17" width="2.140625" style="532" customWidth="1"/>
    <col min="18" max="16384" width="8.85546875" style="319"/>
  </cols>
  <sheetData>
    <row r="1" spans="1:17" ht="15.75">
      <c r="A1" s="881" t="s">
        <v>114</v>
      </c>
    </row>
    <row r="2" spans="1:17" ht="15.75">
      <c r="A2" s="881" t="s">
        <v>114</v>
      </c>
    </row>
    <row r="3" spans="1:17" ht="15">
      <c r="A3" s="1590" t="s">
        <v>387</v>
      </c>
      <c r="B3" s="1590"/>
      <c r="C3" s="1590"/>
      <c r="D3" s="1590"/>
      <c r="E3" s="1590"/>
      <c r="F3" s="1590"/>
      <c r="G3" s="1590"/>
      <c r="H3" s="1590"/>
      <c r="I3" s="1590"/>
      <c r="J3" s="1590"/>
      <c r="K3" s="1590"/>
      <c r="L3" s="1590"/>
      <c r="M3" s="1590"/>
      <c r="N3" s="1590"/>
      <c r="O3" s="1590"/>
      <c r="P3" s="1590"/>
      <c r="Q3" s="578"/>
    </row>
    <row r="4" spans="1:17" ht="15">
      <c r="A4" s="1591" t="str">
        <f>"Cost of Service Formula Rate Using "&amp;TCOS!L4&amp;" FF1 Balances"</f>
        <v>Cost of Service Formula Rate Using 2022 FF1 Balances</v>
      </c>
      <c r="B4" s="1591"/>
      <c r="C4" s="1591"/>
      <c r="D4" s="1591"/>
      <c r="E4" s="1591"/>
      <c r="F4" s="1591"/>
      <c r="G4" s="1591"/>
      <c r="H4" s="1591"/>
      <c r="I4" s="1591"/>
      <c r="J4" s="1591"/>
      <c r="K4" s="1591"/>
      <c r="L4" s="1591"/>
      <c r="M4" s="1591"/>
      <c r="N4" s="1591"/>
      <c r="O4" s="1591"/>
      <c r="P4" s="1591"/>
      <c r="Q4" s="578"/>
    </row>
    <row r="5" spans="1:17" ht="15">
      <c r="A5" s="1591" t="s">
        <v>468</v>
      </c>
      <c r="B5" s="1591"/>
      <c r="C5" s="1591"/>
      <c r="D5" s="1591"/>
      <c r="E5" s="1591"/>
      <c r="F5" s="1591"/>
      <c r="G5" s="1591"/>
      <c r="H5" s="1591"/>
      <c r="I5" s="1591"/>
      <c r="J5" s="1591"/>
      <c r="K5" s="1591"/>
      <c r="L5" s="1591"/>
      <c r="M5" s="1591"/>
      <c r="N5" s="1591"/>
      <c r="O5" s="1591"/>
      <c r="P5" s="1591"/>
      <c r="Q5" s="578"/>
    </row>
    <row r="6" spans="1:17" ht="15">
      <c r="A6" s="1592" t="str">
        <f>TCOS!F9</f>
        <v>WHEELING POWER COMPANY</v>
      </c>
      <c r="B6" s="1592"/>
      <c r="C6" s="1592"/>
      <c r="D6" s="1592"/>
      <c r="E6" s="1592"/>
      <c r="F6" s="1592"/>
      <c r="G6" s="1592"/>
      <c r="H6" s="1592"/>
      <c r="I6" s="1592"/>
      <c r="J6" s="1592"/>
      <c r="K6" s="1592"/>
      <c r="L6" s="1592"/>
      <c r="M6" s="1592"/>
      <c r="N6" s="1592"/>
      <c r="O6" s="1592"/>
      <c r="P6" s="1592"/>
      <c r="Q6" s="578"/>
    </row>
    <row r="7" spans="1:17">
      <c r="Q7" s="578"/>
    </row>
    <row r="8" spans="1:17" ht="20.25">
      <c r="A8" s="580"/>
      <c r="C8" s="401"/>
      <c r="O8" s="581" t="str">
        <f>"Page "&amp;Q8&amp;" of "</f>
        <v xml:space="preserve">Page 1 of </v>
      </c>
      <c r="P8" s="582">
        <f>COUNT(Q$8:Q$58122)</f>
        <v>2</v>
      </c>
      <c r="Q8" s="583">
        <v>1</v>
      </c>
    </row>
    <row r="9" spans="1:17" ht="18">
      <c r="C9" s="584"/>
      <c r="Q9" s="578"/>
    </row>
    <row r="10" spans="1:17">
      <c r="Q10" s="578"/>
    </row>
    <row r="11" spans="1:17" ht="18">
      <c r="B11" s="585" t="s">
        <v>171</v>
      </c>
      <c r="C11" s="1613" t="str">
        <f>"Calculate Return and Income Taxes with "&amp;F17&amp;" basis point ROE increase for Projects Qualified for Regional Billing."</f>
        <v>Calculate Return and Income Taxes with 0 basis point ROE increase for Projects Qualified for Regional Billing.</v>
      </c>
      <c r="D11" s="1614"/>
      <c r="E11" s="1614"/>
      <c r="F11" s="1614"/>
      <c r="G11" s="1614"/>
      <c r="H11" s="1614"/>
      <c r="I11" s="1614"/>
      <c r="Q11" s="578"/>
    </row>
    <row r="12" spans="1:17" ht="18.75" customHeight="1">
      <c r="C12" s="1614"/>
      <c r="D12" s="1614"/>
      <c r="E12" s="1614"/>
      <c r="F12" s="1614"/>
      <c r="G12" s="1614"/>
      <c r="H12" s="1614"/>
      <c r="I12" s="1614"/>
      <c r="Q12" s="578"/>
    </row>
    <row r="13" spans="1:17" ht="15.75" customHeight="1">
      <c r="C13" s="519"/>
      <c r="D13" s="519"/>
      <c r="E13" s="519"/>
      <c r="F13" s="519"/>
      <c r="G13" s="519"/>
      <c r="H13" s="519"/>
      <c r="I13" s="519"/>
      <c r="Q13" s="578"/>
    </row>
    <row r="14" spans="1:17" ht="15.75">
      <c r="C14" s="586" t="str">
        <f>"A.   Determine 'R' with hypothetical "&amp;F17&amp;" basis point increase in ROE for Identified Projects"</f>
        <v>A.   Determine 'R' with hypothetical 0 basis point increase in ROE for Identified Projects</v>
      </c>
      <c r="D14" s="368"/>
      <c r="Q14" s="578"/>
    </row>
    <row r="15" spans="1:17">
      <c r="C15" s="357"/>
      <c r="D15" s="368"/>
      <c r="Q15" s="578"/>
    </row>
    <row r="16" spans="1:17">
      <c r="C16" s="587" t="str">
        <f>"   ROE w/o incentives  (TCOS, ln "&amp;TCOS!B257&amp;")"</f>
        <v xml:space="preserve">   ROE w/o incentives  (TCOS, ln 156)</v>
      </c>
      <c r="D16" s="368"/>
      <c r="E16" s="588"/>
      <c r="F16" s="728">
        <f>TCOS!J257</f>
        <v>0.10349999999999999</v>
      </c>
      <c r="G16" s="728"/>
      <c r="H16" s="588"/>
      <c r="I16" s="590"/>
      <c r="J16" s="590"/>
      <c r="K16" s="591"/>
      <c r="L16" s="590"/>
      <c r="M16" s="590"/>
      <c r="N16" s="590"/>
      <c r="O16" s="590"/>
      <c r="P16" s="590"/>
      <c r="Q16" s="591"/>
    </row>
    <row r="17" spans="3:17" ht="13.5" thickBot="1">
      <c r="C17" s="609" t="s">
        <v>252</v>
      </c>
      <c r="D17" s="368"/>
      <c r="E17" s="588"/>
      <c r="F17" s="853">
        <v>0</v>
      </c>
      <c r="G17" s="588"/>
      <c r="H17" s="588"/>
      <c r="I17" s="590"/>
      <c r="J17" s="590"/>
      <c r="K17" s="591"/>
      <c r="L17" s="590"/>
      <c r="M17" s="590"/>
      <c r="N17" s="590"/>
      <c r="O17" s="590"/>
      <c r="P17" s="590"/>
      <c r="Q17" s="591"/>
    </row>
    <row r="18" spans="3:17">
      <c r="C18" s="609" t="str">
        <f>"   ROE with additional "&amp;F17&amp;" basis point incentive"</f>
        <v xml:space="preserve">   ROE with additional 0 basis point incentive</v>
      </c>
      <c r="D18" s="588"/>
      <c r="E18" s="588"/>
      <c r="F18" s="593">
        <f>IF((F16+(F17/10000)&gt;0.125),"ERROR",F16+(F17/10000))</f>
        <v>0.10349999999999999</v>
      </c>
      <c r="G18" s="594"/>
      <c r="H18" s="588"/>
      <c r="I18" s="590"/>
      <c r="J18" s="590"/>
      <c r="K18" s="591"/>
      <c r="L18" s="729" t="s">
        <v>453</v>
      </c>
      <c r="M18" s="730"/>
      <c r="N18" s="730"/>
      <c r="O18" s="730"/>
      <c r="P18" s="731"/>
      <c r="Q18" s="591"/>
    </row>
    <row r="19" spans="3:17">
      <c r="C19" s="587"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D19" s="368"/>
      <c r="E19" s="588"/>
      <c r="F19" s="595"/>
      <c r="G19" s="595"/>
      <c r="H19" s="588"/>
      <c r="I19" s="590"/>
      <c r="J19" s="590"/>
      <c r="K19" s="591"/>
      <c r="L19" s="732"/>
      <c r="M19" s="591"/>
      <c r="N19" s="591" t="s">
        <v>254</v>
      </c>
      <c r="O19" s="591" t="s">
        <v>255</v>
      </c>
      <c r="P19" s="733" t="s">
        <v>256</v>
      </c>
      <c r="Q19" s="591"/>
    </row>
    <row r="20" spans="3:17">
      <c r="C20" s="591"/>
      <c r="D20" s="596" t="s">
        <v>146</v>
      </c>
      <c r="E20" s="596" t="s">
        <v>145</v>
      </c>
      <c r="F20" s="597" t="s">
        <v>253</v>
      </c>
      <c r="G20" s="597"/>
      <c r="H20" s="588"/>
      <c r="I20" s="590"/>
      <c r="J20" s="590"/>
      <c r="K20" s="591"/>
      <c r="L20" s="732" t="s">
        <v>451</v>
      </c>
      <c r="M20" s="734">
        <f>+TCOS!L4</f>
        <v>2022</v>
      </c>
      <c r="N20" s="578"/>
      <c r="O20" s="578"/>
      <c r="P20" s="735"/>
      <c r="Q20" s="591"/>
    </row>
    <row r="21" spans="3:17">
      <c r="C21" s="598" t="s">
        <v>257</v>
      </c>
      <c r="D21" s="736">
        <f>TCOS!H255</f>
        <v>0.48130429883536185</v>
      </c>
      <c r="E21" s="600">
        <f>TCOS!J255</f>
        <v>3.6138331285962548E-2</v>
      </c>
      <c r="F21" s="601">
        <f>E21*D21</f>
        <v>1.7393534200670226E-2</v>
      </c>
      <c r="G21" s="601"/>
      <c r="H21" s="588"/>
      <c r="I21" s="590"/>
      <c r="J21" s="602"/>
      <c r="K21" s="603"/>
      <c r="L21" s="737"/>
      <c r="M21" s="738" t="s">
        <v>452</v>
      </c>
      <c r="N21" s="863">
        <f>M90</f>
        <v>116396.99706073492</v>
      </c>
      <c r="O21" s="863">
        <f>N90</f>
        <v>116396.99706073492</v>
      </c>
      <c r="P21" s="739">
        <f>+O21-N21</f>
        <v>0</v>
      </c>
      <c r="Q21" s="603"/>
    </row>
    <row r="22" spans="3:17" ht="13.5" thickBot="1">
      <c r="C22" s="598" t="s">
        <v>258</v>
      </c>
      <c r="D22" s="736">
        <f>TCOS!H256</f>
        <v>0</v>
      </c>
      <c r="E22" s="600">
        <f>TCOS!J256</f>
        <v>0</v>
      </c>
      <c r="F22" s="601">
        <f>E22*D22</f>
        <v>0</v>
      </c>
      <c r="G22" s="601"/>
      <c r="H22" s="604"/>
      <c r="I22" s="604"/>
      <c r="J22" s="605"/>
      <c r="K22" s="606"/>
      <c r="L22" s="737"/>
      <c r="M22" s="738" t="s">
        <v>259</v>
      </c>
      <c r="N22" s="864">
        <f>M91</f>
        <v>112537.96476954849</v>
      </c>
      <c r="O22" s="864">
        <f>N91</f>
        <v>112537.96476954849</v>
      </c>
      <c r="P22" s="740">
        <f>+O22-N22</f>
        <v>0</v>
      </c>
      <c r="Q22" s="606"/>
    </row>
    <row r="23" spans="3:17">
      <c r="C23" s="607" t="s">
        <v>244</v>
      </c>
      <c r="D23" s="736">
        <f>TCOS!H257</f>
        <v>0.51869570116463826</v>
      </c>
      <c r="E23" s="600">
        <f>+F18</f>
        <v>0.10349999999999999</v>
      </c>
      <c r="F23" s="608">
        <f>E23*D23</f>
        <v>5.3685005070540054E-2</v>
      </c>
      <c r="G23" s="608"/>
      <c r="H23" s="604"/>
      <c r="I23" s="604"/>
      <c r="J23" s="605"/>
      <c r="K23" s="606"/>
      <c r="L23" s="737"/>
      <c r="M23" s="738" t="str">
        <f>"True-up of ARR For "&amp;TCOS!L4&amp;""</f>
        <v>True-up of ARR For 2022</v>
      </c>
      <c r="N23" s="663">
        <f>+N22-N21</f>
        <v>-3859.032291186435</v>
      </c>
      <c r="O23" s="663">
        <f>+O22-O21</f>
        <v>-3859.032291186435</v>
      </c>
      <c r="P23" s="741">
        <f>+P22-P21</f>
        <v>0</v>
      </c>
      <c r="Q23" s="606"/>
    </row>
    <row r="24" spans="3:17">
      <c r="C24" s="609"/>
      <c r="D24" s="319"/>
      <c r="E24" s="610" t="s">
        <v>260</v>
      </c>
      <c r="F24" s="601">
        <f>SUM(F21:F23)</f>
        <v>7.1078539271210273E-2</v>
      </c>
      <c r="G24" s="601"/>
      <c r="H24" s="604"/>
      <c r="I24" s="604"/>
      <c r="J24" s="605"/>
      <c r="K24" s="606"/>
      <c r="L24" s="737"/>
      <c r="M24" s="578"/>
      <c r="N24" s="578"/>
      <c r="O24" s="578"/>
      <c r="P24" s="735"/>
      <c r="Q24" s="606"/>
    </row>
    <row r="25" spans="3:17" ht="13.5" thickBot="1">
      <c r="C25" s="357"/>
      <c r="D25" s="615"/>
      <c r="E25" s="615"/>
      <c r="F25" s="604"/>
      <c r="G25" s="604"/>
      <c r="H25" s="604"/>
      <c r="I25" s="604"/>
      <c r="J25" s="604"/>
      <c r="K25" s="616"/>
      <c r="L25" s="742"/>
      <c r="M25" s="743"/>
      <c r="N25" s="744"/>
      <c r="O25" s="744"/>
      <c r="P25" s="740"/>
      <c r="Q25" s="616"/>
    </row>
    <row r="26" spans="3:17" ht="15.75">
      <c r="C26" s="586" t="str">
        <f>"B.   Determine Return using 'R' with hypothetical "&amp;F17&amp;" basis point ROE increase for Identified Projects."</f>
        <v>B.   Determine Return using 'R' with hypothetical 0 basis point ROE increase for Identified Projects.</v>
      </c>
      <c r="D26" s="615"/>
      <c r="E26" s="615"/>
      <c r="F26" s="620"/>
      <c r="G26" s="620"/>
      <c r="H26" s="604"/>
      <c r="I26" s="588"/>
      <c r="J26" s="604"/>
      <c r="K26" s="616"/>
      <c r="L26" s="604"/>
      <c r="M26" s="604"/>
      <c r="N26" s="604"/>
      <c r="O26" s="604"/>
      <c r="P26" s="604"/>
      <c r="Q26" s="616"/>
    </row>
    <row r="27" spans="3:17">
      <c r="C27" s="591"/>
      <c r="D27" s="615"/>
      <c r="E27" s="615"/>
      <c r="F27" s="616"/>
      <c r="G27" s="616"/>
      <c r="H27" s="616"/>
      <c r="I27" s="616"/>
      <c r="J27" s="616"/>
      <c r="K27" s="616"/>
      <c r="L27" s="616"/>
      <c r="M27" s="616"/>
      <c r="N27" s="616"/>
      <c r="O27" s="616"/>
      <c r="P27" s="616"/>
      <c r="Q27" s="616"/>
    </row>
    <row r="28" spans="3:17">
      <c r="C28" s="625" t="str">
        <f>"   Rate Base  (TCOS, ln "&amp;TCOS!B125&amp;")"</f>
        <v xml:space="preserve">   Rate Base  (TCOS, ln 68)</v>
      </c>
      <c r="D28" s="588"/>
      <c r="E28" s="626">
        <f>TCOS!L125</f>
        <v>100248517.2695417</v>
      </c>
      <c r="F28" s="745"/>
      <c r="G28" s="745"/>
      <c r="H28" s="616"/>
      <c r="I28" s="616"/>
      <c r="J28" s="616"/>
      <c r="K28" s="616"/>
      <c r="L28" s="616"/>
      <c r="M28" s="616"/>
      <c r="N28" s="616"/>
      <c r="O28" s="616"/>
      <c r="P28" s="745"/>
      <c r="Q28" s="616"/>
    </row>
    <row r="29" spans="3:17">
      <c r="C29" s="591" t="s">
        <v>473</v>
      </c>
      <c r="D29" s="628"/>
      <c r="E29" s="601">
        <f>F24</f>
        <v>7.1078539271210273E-2</v>
      </c>
      <c r="F29" s="616"/>
      <c r="G29" s="616"/>
      <c r="H29" s="616"/>
      <c r="I29" s="616"/>
      <c r="J29" s="616"/>
      <c r="K29" s="616"/>
      <c r="L29" s="616"/>
      <c r="M29" s="616"/>
      <c r="N29" s="616"/>
      <c r="O29" s="616"/>
      <c r="P29" s="616"/>
      <c r="Q29" s="616"/>
    </row>
    <row r="30" spans="3:17">
      <c r="C30" s="629" t="s">
        <v>262</v>
      </c>
      <c r="D30" s="629"/>
      <c r="E30" s="605">
        <f>E28*E29</f>
        <v>7125518.1716237208</v>
      </c>
      <c r="F30" s="616"/>
      <c r="G30" s="616"/>
      <c r="H30" s="616"/>
      <c r="I30" s="616"/>
      <c r="J30" s="606"/>
      <c r="K30" s="606"/>
      <c r="L30" s="606"/>
      <c r="M30" s="606"/>
      <c r="N30" s="606"/>
      <c r="O30" s="606"/>
      <c r="P30" s="616"/>
      <c r="Q30" s="606"/>
    </row>
    <row r="31" spans="3:17">
      <c r="C31" s="630"/>
      <c r="D31" s="590"/>
      <c r="E31" s="590"/>
      <c r="F31" s="616"/>
      <c r="G31" s="616"/>
      <c r="H31" s="616"/>
      <c r="I31" s="616"/>
      <c r="J31" s="606"/>
      <c r="K31" s="606"/>
      <c r="L31" s="606"/>
      <c r="M31" s="606"/>
      <c r="N31" s="606"/>
      <c r="O31" s="606"/>
      <c r="P31" s="616"/>
      <c r="Q31" s="606"/>
    </row>
    <row r="32" spans="3:17" ht="15.75">
      <c r="C32" s="586" t="str">
        <f>"C.   Determine Income Taxes using Return with hypothetical "&amp;F17&amp;" basis point ROE increase for Identified Projects."</f>
        <v>C.   Determine Income Taxes using Return with hypothetical 0 basis point ROE increase for Identified Projects.</v>
      </c>
      <c r="D32" s="631"/>
      <c r="E32" s="631"/>
      <c r="F32" s="632"/>
      <c r="G32" s="632"/>
      <c r="H32" s="632"/>
      <c r="I32" s="632"/>
      <c r="J32" s="633"/>
      <c r="K32" s="633"/>
      <c r="L32" s="633"/>
      <c r="M32" s="633"/>
      <c r="N32" s="633"/>
      <c r="O32" s="633"/>
      <c r="P32" s="632"/>
      <c r="Q32" s="633"/>
    </row>
    <row r="33" spans="2:17">
      <c r="C33" s="609"/>
      <c r="D33" s="590"/>
      <c r="E33" s="590"/>
      <c r="F33" s="616"/>
      <c r="G33" s="616"/>
      <c r="H33" s="616"/>
      <c r="I33" s="616"/>
      <c r="J33" s="606"/>
      <c r="K33" s="606"/>
      <c r="L33" s="606"/>
      <c r="M33" s="606"/>
      <c r="N33" s="606"/>
      <c r="O33" s="606"/>
      <c r="P33" s="616"/>
      <c r="Q33" s="606"/>
    </row>
    <row r="34" spans="2:17">
      <c r="C34" s="591" t="s">
        <v>263</v>
      </c>
      <c r="D34" s="610"/>
      <c r="E34" s="634">
        <f>E30</f>
        <v>7125518.1716237208</v>
      </c>
      <c r="F34" s="616"/>
      <c r="G34" s="616"/>
      <c r="H34" s="616"/>
      <c r="I34" s="616"/>
      <c r="J34" s="616"/>
      <c r="K34" s="616"/>
      <c r="L34" s="616"/>
      <c r="M34" s="616"/>
      <c r="N34" s="616"/>
      <c r="O34" s="616"/>
      <c r="P34" s="616"/>
      <c r="Q34" s="616"/>
    </row>
    <row r="35" spans="2:17">
      <c r="C35" s="625" t="str">
        <f>"   Effective Tax Rate  (TCOS, ln "&amp;TCOS!B190&amp;")"</f>
        <v xml:space="preserve">   Effective Tax Rate  (TCOS, ln 114)</v>
      </c>
      <c r="D35" s="553"/>
      <c r="E35" s="635">
        <f>TCOS!G190</f>
        <v>0.26575399290574281</v>
      </c>
      <c r="F35" s="532"/>
      <c r="G35" s="532"/>
      <c r="H35" s="532"/>
      <c r="I35" s="636"/>
      <c r="J35" s="532"/>
      <c r="K35" s="578"/>
      <c r="Q35" s="578"/>
    </row>
    <row r="36" spans="2:17">
      <c r="C36" s="630" t="s">
        <v>264</v>
      </c>
      <c r="D36" s="553"/>
      <c r="E36" s="637">
        <f>E34*E35</f>
        <v>1893634.9056314318</v>
      </c>
      <c r="F36" s="532"/>
      <c r="G36" s="532"/>
      <c r="H36" s="532"/>
      <c r="I36" s="636"/>
      <c r="J36" s="532"/>
      <c r="K36" s="578"/>
      <c r="Q36" s="578"/>
    </row>
    <row r="37" spans="2:17" ht="15">
      <c r="C37" s="609" t="s">
        <v>302</v>
      </c>
      <c r="D37" s="465"/>
      <c r="E37" s="638">
        <f>TCOS!L199</f>
        <v>0</v>
      </c>
      <c r="F37" s="465"/>
      <c r="G37" s="465"/>
      <c r="H37" s="465"/>
      <c r="I37" s="465"/>
      <c r="J37" s="465"/>
      <c r="K37" s="465"/>
      <c r="L37" s="465"/>
      <c r="M37" s="465"/>
      <c r="N37" s="465"/>
      <c r="O37" s="465"/>
      <c r="P37" s="377"/>
      <c r="Q37" s="465"/>
    </row>
    <row r="38" spans="2:17" ht="15">
      <c r="C38" s="609" t="s">
        <v>531</v>
      </c>
      <c r="D38" s="465"/>
      <c r="E38" s="638">
        <f>TCOS!L200</f>
        <v>-215104.66591704436</v>
      </c>
      <c r="F38" s="465"/>
      <c r="G38" s="465"/>
      <c r="H38" s="465"/>
      <c r="I38" s="465"/>
      <c r="J38" s="465"/>
      <c r="K38" s="465"/>
      <c r="L38" s="465"/>
      <c r="M38" s="465"/>
      <c r="N38" s="465"/>
      <c r="O38" s="465"/>
      <c r="P38" s="377"/>
      <c r="Q38" s="465"/>
    </row>
    <row r="39" spans="2:17" ht="15">
      <c r="C39" s="609" t="s">
        <v>532</v>
      </c>
      <c r="D39" s="465"/>
      <c r="E39" s="639">
        <f>TCOS!L201</f>
        <v>-30534.810156999058</v>
      </c>
      <c r="F39" s="465"/>
      <c r="G39" s="465"/>
      <c r="H39" s="465"/>
      <c r="I39" s="465"/>
      <c r="J39" s="465"/>
      <c r="K39" s="465"/>
      <c r="L39" s="465"/>
      <c r="M39" s="465"/>
      <c r="N39" s="465"/>
      <c r="O39" s="465"/>
      <c r="P39" s="377"/>
      <c r="Q39" s="465"/>
    </row>
    <row r="40" spans="2:17" ht="15">
      <c r="C40" s="630" t="s">
        <v>265</v>
      </c>
      <c r="D40" s="465"/>
      <c r="E40" s="638">
        <f>E36+E37+E38+E39</f>
        <v>1647995.4295573884</v>
      </c>
      <c r="F40" s="465"/>
      <c r="G40" s="465"/>
      <c r="H40" s="465"/>
      <c r="I40" s="465"/>
      <c r="J40" s="465"/>
      <c r="K40" s="465"/>
      <c r="L40" s="465"/>
      <c r="M40" s="465"/>
      <c r="N40" s="465"/>
      <c r="O40" s="465"/>
      <c r="P40" s="335"/>
      <c r="Q40" s="465"/>
    </row>
    <row r="41" spans="2:17" ht="12.75" customHeight="1">
      <c r="C41" s="385"/>
      <c r="D41" s="465"/>
      <c r="E41" s="465"/>
      <c r="F41" s="465"/>
      <c r="G41" s="465"/>
      <c r="H41" s="465"/>
      <c r="I41" s="465"/>
      <c r="J41" s="465"/>
      <c r="K41" s="465"/>
      <c r="L41" s="465"/>
      <c r="M41" s="465"/>
      <c r="N41" s="465"/>
      <c r="O41" s="465"/>
      <c r="P41" s="335"/>
      <c r="Q41" s="465"/>
    </row>
    <row r="42" spans="2:17" ht="18.75">
      <c r="B42" s="585" t="s">
        <v>172</v>
      </c>
      <c r="C42" s="584" t="str">
        <f>"Calculate Net Plant Carrying Charge Rate (Fixed Charge Rate or FCR) with hypothetical "&amp;F17&amp;""</f>
        <v>Calculate Net Plant Carrying Charge Rate (Fixed Charge Rate or FCR) with hypothetical 0</v>
      </c>
      <c r="D42" s="465"/>
      <c r="E42" s="465"/>
      <c r="F42" s="465"/>
      <c r="G42" s="465"/>
      <c r="H42" s="465"/>
      <c r="I42" s="465"/>
      <c r="J42" s="465"/>
      <c r="K42" s="465"/>
      <c r="L42" s="465"/>
      <c r="M42" s="465"/>
      <c r="N42" s="465"/>
      <c r="O42" s="465"/>
      <c r="P42" s="335"/>
      <c r="Q42" s="465"/>
    </row>
    <row r="43" spans="2:17" ht="18.75" customHeight="1">
      <c r="C43" s="584" t="str">
        <f>"basis point ROE increase."</f>
        <v>basis point ROE increase.</v>
      </c>
      <c r="D43" s="465"/>
      <c r="E43" s="465"/>
      <c r="F43" s="465"/>
      <c r="G43" s="465"/>
      <c r="H43" s="465"/>
      <c r="I43" s="465"/>
      <c r="J43" s="465"/>
      <c r="K43" s="465"/>
      <c r="L43" s="465"/>
      <c r="M43" s="465"/>
      <c r="N43" s="465"/>
      <c r="O43" s="465"/>
      <c r="P43" s="335"/>
      <c r="Q43" s="465"/>
    </row>
    <row r="44" spans="2:17" ht="12.75" customHeight="1">
      <c r="C44" s="584"/>
      <c r="D44" s="465"/>
      <c r="E44" s="465"/>
      <c r="F44" s="465"/>
      <c r="G44" s="465"/>
      <c r="H44" s="465"/>
      <c r="I44" s="465"/>
      <c r="J44" s="465"/>
      <c r="K44" s="465"/>
      <c r="L44" s="465"/>
      <c r="M44" s="465"/>
      <c r="N44" s="465"/>
      <c r="O44" s="465"/>
      <c r="P44" s="335"/>
      <c r="Q44" s="465"/>
    </row>
    <row r="45" spans="2:17" ht="15.75">
      <c r="C45" s="586" t="s">
        <v>464</v>
      </c>
      <c r="D45" s="465"/>
      <c r="E45" s="465"/>
      <c r="F45" s="464"/>
      <c r="G45" s="464"/>
      <c r="H45" s="465"/>
      <c r="I45" s="465"/>
      <c r="J45" s="465"/>
      <c r="K45" s="465"/>
      <c r="L45" s="465"/>
      <c r="M45" s="465"/>
      <c r="N45" s="465"/>
      <c r="O45" s="465"/>
      <c r="P45" s="335"/>
      <c r="Q45" s="465"/>
    </row>
    <row r="46" spans="2:17">
      <c r="B46" s="566"/>
      <c r="C46" s="587"/>
      <c r="D46" s="640"/>
      <c r="E46" s="640"/>
      <c r="F46" s="640"/>
      <c r="G46" s="640"/>
      <c r="H46" s="640"/>
      <c r="I46" s="640"/>
      <c r="J46" s="640"/>
      <c r="K46" s="640"/>
      <c r="L46" s="640"/>
      <c r="M46" s="640"/>
      <c r="N46" s="640"/>
      <c r="O46" s="640"/>
      <c r="P46" s="638"/>
      <c r="Q46" s="640"/>
    </row>
    <row r="47" spans="2:17" ht="12.75" customHeight="1">
      <c r="B47" s="566"/>
      <c r="C47" s="625" t="str">
        <f>"   Annual Revenue Requirement  (TCOS, ln "&amp;TCOS!B13&amp;")"</f>
        <v xml:space="preserve">   Annual Revenue Requirement  (TCOS, ln 1)</v>
      </c>
      <c r="D47" s="640"/>
      <c r="E47" s="640"/>
      <c r="F47" s="638">
        <f>TCOS!L13</f>
        <v>15049935.749021769</v>
      </c>
      <c r="G47" s="638"/>
      <c r="H47" s="746" t="s">
        <v>114</v>
      </c>
      <c r="I47" s="640"/>
      <c r="J47" s="640"/>
      <c r="K47" s="640"/>
      <c r="L47" s="640"/>
      <c r="M47" s="640"/>
      <c r="N47" s="640"/>
      <c r="O47" s="640"/>
      <c r="P47" s="638"/>
      <c r="Q47" s="640"/>
    </row>
    <row r="48" spans="2:17" ht="12.75" customHeight="1">
      <c r="B48" s="566"/>
      <c r="C48" s="625" t="str">
        <f>"   Lease Payments (TCOS, Ln "&amp;TCOS!B168&amp;")"</f>
        <v xml:space="preserve">   Lease Payments (TCOS, Ln 95)</v>
      </c>
      <c r="D48" s="640"/>
      <c r="E48" s="640"/>
      <c r="F48" s="638">
        <f>TCOS!L168</f>
        <v>0</v>
      </c>
      <c r="G48" s="638"/>
      <c r="H48" s="746"/>
      <c r="I48" s="640"/>
      <c r="J48" s="640"/>
      <c r="K48" s="640"/>
      <c r="L48" s="640"/>
      <c r="M48" s="640"/>
      <c r="N48" s="640"/>
      <c r="O48" s="640"/>
      <c r="P48" s="638"/>
      <c r="Q48" s="640"/>
    </row>
    <row r="49" spans="2:17">
      <c r="B49" s="566"/>
      <c r="C49" s="625" t="str">
        <f>"   Return  (TCOS, ln "&amp;TCOS!B205&amp;")"</f>
        <v xml:space="preserve">   Return  (TCOS, ln 126)</v>
      </c>
      <c r="D49" s="640"/>
      <c r="E49" s="640"/>
      <c r="F49" s="641">
        <f>TCOS!L205</f>
        <v>7125518.1716237208</v>
      </c>
      <c r="G49" s="641"/>
      <c r="H49" s="642"/>
      <c r="I49" s="642"/>
      <c r="J49" s="642"/>
      <c r="K49" s="642"/>
      <c r="L49" s="642"/>
      <c r="M49" s="642"/>
      <c r="N49" s="642"/>
      <c r="O49" s="642"/>
      <c r="P49" s="638"/>
      <c r="Q49" s="642"/>
    </row>
    <row r="50" spans="2:17">
      <c r="B50" s="566"/>
      <c r="C50" s="625" t="str">
        <f>"   Income Taxes  (TCOS, ln "&amp;TCOS!B203&amp;")"</f>
        <v xml:space="preserve">   Income Taxes  (TCOS, ln 125)</v>
      </c>
      <c r="D50" s="640"/>
      <c r="E50" s="640"/>
      <c r="F50" s="643">
        <f>TCOS!L203</f>
        <v>1647995.4295573884</v>
      </c>
      <c r="G50" s="643"/>
      <c r="H50" s="640"/>
      <c r="I50" s="640"/>
      <c r="J50" s="644"/>
      <c r="K50" s="644"/>
      <c r="L50" s="644"/>
      <c r="M50" s="644"/>
      <c r="N50" s="644"/>
      <c r="O50" s="644"/>
      <c r="P50" s="640"/>
      <c r="Q50" s="644"/>
    </row>
    <row r="51" spans="2:17">
      <c r="B51" s="566"/>
      <c r="C51" s="1615" t="s">
        <v>588</v>
      </c>
      <c r="D51" s="1614"/>
      <c r="E51" s="640"/>
      <c r="F51" s="641">
        <f>F47-F49-F50-F48</f>
        <v>6276422.1478406591</v>
      </c>
      <c r="G51" s="641"/>
      <c r="H51" s="646"/>
      <c r="I51" s="640"/>
      <c r="J51" s="646"/>
      <c r="K51" s="646"/>
      <c r="L51" s="646"/>
      <c r="M51" s="646"/>
      <c r="N51" s="646"/>
      <c r="O51" s="646"/>
      <c r="P51" s="646"/>
      <c r="Q51" s="646"/>
    </row>
    <row r="52" spans="2:17">
      <c r="B52" s="566"/>
      <c r="C52" s="1614"/>
      <c r="D52" s="1614"/>
      <c r="E52" s="640"/>
      <c r="F52" s="638"/>
      <c r="G52" s="638"/>
      <c r="H52" s="647"/>
      <c r="I52" s="648"/>
      <c r="J52" s="648"/>
      <c r="K52" s="648"/>
      <c r="L52" s="648"/>
      <c r="M52" s="648"/>
      <c r="N52" s="648"/>
      <c r="O52" s="648"/>
      <c r="P52" s="648"/>
      <c r="Q52" s="648"/>
    </row>
    <row r="53" spans="2:17" ht="15.75">
      <c r="B53" s="566"/>
      <c r="C53" s="586" t="str">
        <f>"B.   Determine Annual Revenue Requirement with hypothetical "&amp;F17&amp;" basis point increase in ROE."</f>
        <v>B.   Determine Annual Revenue Requirement with hypothetical 0 basis point increase in ROE.</v>
      </c>
      <c r="D53" s="649"/>
      <c r="E53" s="649"/>
      <c r="F53" s="638"/>
      <c r="G53" s="638"/>
      <c r="H53" s="647"/>
      <c r="I53" s="648"/>
      <c r="J53" s="648"/>
      <c r="K53" s="648"/>
      <c r="L53" s="648"/>
      <c r="M53" s="648"/>
      <c r="N53" s="648"/>
      <c r="O53" s="648"/>
      <c r="P53" s="648"/>
      <c r="Q53" s="648"/>
    </row>
    <row r="54" spans="2:17">
      <c r="B54" s="566"/>
      <c r="C54" s="587"/>
      <c r="D54" s="649"/>
      <c r="E54" s="649"/>
      <c r="F54" s="638"/>
      <c r="G54" s="638"/>
      <c r="H54" s="647"/>
      <c r="I54" s="648"/>
      <c r="J54" s="648"/>
      <c r="K54" s="648"/>
      <c r="L54" s="648"/>
      <c r="M54" s="648"/>
      <c r="N54" s="648"/>
      <c r="O54" s="648"/>
      <c r="P54" s="648"/>
      <c r="Q54" s="648"/>
    </row>
    <row r="55" spans="2:17">
      <c r="B55" s="566"/>
      <c r="C55" s="587" t="str">
        <f>C51</f>
        <v xml:space="preserve">   Annual Revenue Requirement, Less Lease Payments, Return and Taxes</v>
      </c>
      <c r="D55" s="649"/>
      <c r="E55" s="649"/>
      <c r="F55" s="638">
        <f>F51</f>
        <v>6276422.1478406591</v>
      </c>
      <c r="G55" s="638"/>
      <c r="H55" s="640"/>
      <c r="I55" s="640"/>
      <c r="J55" s="640"/>
      <c r="K55" s="640"/>
      <c r="L55" s="640"/>
      <c r="M55" s="640"/>
      <c r="N55" s="640"/>
      <c r="O55" s="640"/>
      <c r="P55" s="650"/>
      <c r="Q55" s="640"/>
    </row>
    <row r="56" spans="2:17">
      <c r="B56" s="566"/>
      <c r="C56" s="591" t="s">
        <v>299</v>
      </c>
      <c r="D56" s="651"/>
      <c r="E56" s="645"/>
      <c r="F56" s="652">
        <f>E30</f>
        <v>7125518.1716237208</v>
      </c>
      <c r="G56" s="652"/>
      <c r="H56" s="645"/>
      <c r="I56" s="653"/>
      <c r="J56" s="645"/>
      <c r="K56" s="645"/>
      <c r="L56" s="645"/>
      <c r="M56" s="645"/>
      <c r="N56" s="645"/>
      <c r="O56" s="645"/>
      <c r="P56" s="645"/>
      <c r="Q56" s="645"/>
    </row>
    <row r="57" spans="2:17" ht="12.75" customHeight="1">
      <c r="B57" s="566"/>
      <c r="C57" s="609" t="s">
        <v>266</v>
      </c>
      <c r="D57" s="640"/>
      <c r="E57" s="640"/>
      <c r="F57" s="643">
        <f>E40</f>
        <v>1647995.4295573884</v>
      </c>
      <c r="G57" s="643"/>
      <c r="H57" s="532"/>
      <c r="I57" s="636"/>
      <c r="J57" s="532"/>
      <c r="K57" s="578"/>
      <c r="Q57" s="578"/>
    </row>
    <row r="58" spans="2:17">
      <c r="B58" s="566"/>
      <c r="C58" s="645" t="str">
        <f>"   Annual Revenue Requirement, with "&amp;F17&amp;" Basis Point ROE increase"</f>
        <v xml:space="preserve">   Annual Revenue Requirement, with 0 Basis Point ROE increase</v>
      </c>
      <c r="D58" s="553"/>
      <c r="E58" s="532"/>
      <c r="F58" s="637">
        <f>SUM(F55:F57)</f>
        <v>15049935.749021769</v>
      </c>
      <c r="G58" s="637"/>
      <c r="H58" s="532"/>
      <c r="I58" s="636"/>
      <c r="J58" s="532"/>
      <c r="K58" s="578"/>
      <c r="Q58" s="578"/>
    </row>
    <row r="59" spans="2:17">
      <c r="B59" s="566"/>
      <c r="C59" s="625" t="str">
        <f>"   Depreciation  (TCOS, ln "&amp;TCOS!B174&amp;")"</f>
        <v xml:space="preserve">   Depreciation  (TCOS, ln 100)</v>
      </c>
      <c r="D59" s="553"/>
      <c r="E59" s="532"/>
      <c r="F59" s="654">
        <f>TCOS!L174</f>
        <v>2801870.5454922519</v>
      </c>
      <c r="G59" s="654"/>
      <c r="H59" s="637"/>
      <c r="I59" s="636"/>
      <c r="J59" s="532"/>
      <c r="K59" s="578"/>
      <c r="Q59" s="578"/>
    </row>
    <row r="60" spans="2:17">
      <c r="B60" s="566"/>
      <c r="C60" s="1615" t="str">
        <f>"   Annual Rev. Req, w/ "&amp;F17&amp;" Basis Point ROE increase, less Depreciation"</f>
        <v xml:space="preserve">   Annual Rev. Req, w/ 0 Basis Point ROE increase, less Depreciation</v>
      </c>
      <c r="D60" s="1614"/>
      <c r="E60" s="532"/>
      <c r="F60" s="637">
        <f>F58-F59</f>
        <v>12248065.203529516</v>
      </c>
      <c r="G60" s="637"/>
      <c r="H60" s="532"/>
      <c r="I60" s="636"/>
      <c r="J60" s="532"/>
      <c r="K60" s="578"/>
      <c r="Q60" s="578"/>
    </row>
    <row r="61" spans="2:17">
      <c r="B61" s="566"/>
      <c r="C61" s="1614"/>
      <c r="D61" s="1614"/>
      <c r="E61" s="532"/>
      <c r="F61" s="532"/>
      <c r="G61" s="532"/>
      <c r="H61" s="532"/>
      <c r="I61" s="636"/>
      <c r="J61" s="532"/>
      <c r="K61" s="578"/>
      <c r="Q61" s="578"/>
    </row>
    <row r="62" spans="2:17" ht="15.75">
      <c r="B62" s="566"/>
      <c r="C62" s="586" t="str">
        <f>"C.   Determine FCR with hypothetical "&amp;F17&amp;" basis point ROE increase."</f>
        <v>C.   Determine FCR with hypothetical 0 basis point ROE increase.</v>
      </c>
      <c r="D62" s="553"/>
      <c r="E62" s="532"/>
      <c r="F62" s="532"/>
      <c r="G62" s="532"/>
      <c r="H62" s="532"/>
      <c r="I62" s="636"/>
      <c r="J62" s="532"/>
      <c r="K62" s="578"/>
      <c r="Q62" s="578"/>
    </row>
    <row r="63" spans="2:17">
      <c r="B63" s="566"/>
      <c r="C63" s="532"/>
      <c r="D63" s="553"/>
      <c r="E63" s="532"/>
      <c r="F63" s="532"/>
      <c r="G63" s="532"/>
      <c r="H63" s="532"/>
      <c r="I63" s="636"/>
      <c r="J63" s="532"/>
      <c r="K63" s="578"/>
      <c r="Q63" s="578"/>
    </row>
    <row r="64" spans="2:17">
      <c r="B64" s="566"/>
      <c r="C64" s="625" t="str">
        <f>"   Net Transmission Plant  (TCOS, ln "&amp;TCOS!B91&amp;")"</f>
        <v xml:space="preserve">   Net Transmission Plant  (TCOS, ln 42)</v>
      </c>
      <c r="D64" s="553"/>
      <c r="E64" s="532"/>
      <c r="F64" s="637">
        <f>TCOS!L91</f>
        <v>124736569.84999996</v>
      </c>
      <c r="G64" s="637"/>
      <c r="H64" s="637"/>
      <c r="I64" s="655"/>
      <c r="J64" s="532"/>
      <c r="K64" s="578"/>
      <c r="Q64" s="578"/>
    </row>
    <row r="65" spans="2:17">
      <c r="B65" s="566"/>
      <c r="C65" s="645" t="str">
        <f>"   Annual Revenue Requirement, with "&amp;F17&amp;" Basis Point ROE increase"</f>
        <v xml:space="preserve">   Annual Revenue Requirement, with 0 Basis Point ROE increase</v>
      </c>
      <c r="D65" s="553"/>
      <c r="E65" s="532"/>
      <c r="F65" s="637">
        <f>F58</f>
        <v>15049935.749021769</v>
      </c>
      <c r="G65" s="637"/>
      <c r="H65" s="532"/>
      <c r="I65" s="636"/>
      <c r="J65" s="532"/>
      <c r="K65" s="578"/>
      <c r="Q65" s="578"/>
    </row>
    <row r="66" spans="2:17">
      <c r="B66" s="566"/>
      <c r="C66" s="645" t="str">
        <f>"   FCR with "&amp;F17&amp;" Basis Point increase in ROE"</f>
        <v xml:space="preserve">   FCR with 0 Basis Point increase in ROE</v>
      </c>
      <c r="D66" s="553"/>
      <c r="E66" s="532"/>
      <c r="F66" s="635">
        <f>F65/F64</f>
        <v>0.12065375668995737</v>
      </c>
      <c r="G66" s="635"/>
      <c r="H66" s="635"/>
      <c r="I66" s="636"/>
      <c r="J66" s="532"/>
      <c r="K66" s="578"/>
      <c r="Q66" s="578"/>
    </row>
    <row r="67" spans="2:17">
      <c r="B67" s="566"/>
      <c r="C67" s="357"/>
      <c r="D67" s="553"/>
      <c r="E67" s="532"/>
      <c r="F67" s="566"/>
      <c r="G67" s="566"/>
      <c r="H67" s="532"/>
      <c r="I67" s="636"/>
      <c r="J67" s="532"/>
      <c r="K67" s="578"/>
      <c r="Q67" s="578"/>
    </row>
    <row r="68" spans="2:17">
      <c r="B68" s="566"/>
      <c r="C68" s="645" t="str">
        <f>"   Annual Rev. Req, w / "&amp;F17&amp;" Basis Point ROE increase, less Dep."</f>
        <v xml:space="preserve">   Annual Rev. Req, w / 0 Basis Point ROE increase, less Dep.</v>
      </c>
      <c r="D68" s="553"/>
      <c r="E68" s="532"/>
      <c r="F68" s="637">
        <f>F60</f>
        <v>12248065.203529516</v>
      </c>
      <c r="G68" s="637"/>
      <c r="H68" s="532"/>
      <c r="I68" s="636"/>
      <c r="J68" s="532"/>
      <c r="K68" s="578"/>
      <c r="Q68" s="578"/>
    </row>
    <row r="69" spans="2:17">
      <c r="B69" s="566"/>
      <c r="C69" s="645" t="str">
        <f>"   FCR with "&amp;F17&amp;" Basis Point ROE increase, less Depreciation"</f>
        <v xml:space="preserve">   FCR with 0 Basis Point ROE increase, less Depreciation</v>
      </c>
      <c r="D69" s="553"/>
      <c r="E69" s="532"/>
      <c r="F69" s="635">
        <f>F68/F64</f>
        <v>9.8191454344609908E-2</v>
      </c>
      <c r="G69" s="635"/>
      <c r="H69" s="532"/>
      <c r="I69" s="636"/>
      <c r="J69" s="532"/>
      <c r="K69" s="578"/>
      <c r="Q69" s="578"/>
    </row>
    <row r="70" spans="2:17">
      <c r="B70" s="566"/>
      <c r="C70" s="625" t="str">
        <f>"   FCR less Depreciation  (TCOS, ln "&amp;TCOS!B34&amp;")"</f>
        <v xml:space="preserve">   FCR less Depreciation  (TCOS, ln 10)</v>
      </c>
      <c r="D70" s="553"/>
      <c r="E70" s="532"/>
      <c r="F70" s="656">
        <f>TCOS!L34</f>
        <v>9.8191454344609908E-2</v>
      </c>
      <c r="G70" s="656"/>
      <c r="H70" s="532"/>
      <c r="I70" s="636"/>
      <c r="J70" s="532"/>
      <c r="K70" s="578"/>
      <c r="Q70" s="578"/>
    </row>
    <row r="71" spans="2:17">
      <c r="B71" s="566"/>
      <c r="C71" s="1615" t="str">
        <f>"   Incremental FCR with "&amp;F17&amp;" Basis Point ROE increase, less Depreciation"</f>
        <v xml:space="preserve">   Incremental FCR with 0 Basis Point ROE increase, less Depreciation</v>
      </c>
      <c r="D71" s="1614"/>
      <c r="E71" s="532"/>
      <c r="F71" s="635">
        <f>F69-F70</f>
        <v>0</v>
      </c>
      <c r="G71" s="635"/>
      <c r="H71" s="532"/>
      <c r="I71" s="636"/>
      <c r="J71" s="532"/>
      <c r="K71" s="578"/>
      <c r="Q71" s="578"/>
    </row>
    <row r="72" spans="2:17">
      <c r="B72" s="566"/>
      <c r="C72" s="1614"/>
      <c r="D72" s="1614"/>
      <c r="E72" s="532"/>
      <c r="F72" s="635"/>
      <c r="G72" s="635"/>
      <c r="H72" s="532"/>
      <c r="I72" s="636"/>
      <c r="J72" s="532"/>
      <c r="K72" s="578"/>
      <c r="Q72" s="578"/>
    </row>
    <row r="73" spans="2:17" ht="18.75">
      <c r="B73" s="585" t="s">
        <v>173</v>
      </c>
      <c r="C73" s="584" t="s">
        <v>267</v>
      </c>
      <c r="D73" s="553"/>
      <c r="E73" s="532"/>
      <c r="F73" s="635"/>
      <c r="G73" s="635"/>
      <c r="H73" s="532"/>
      <c r="I73" s="636"/>
      <c r="J73" s="532"/>
      <c r="K73" s="578"/>
      <c r="Q73" s="578"/>
    </row>
    <row r="74" spans="2:17">
      <c r="B74" s="566"/>
      <c r="C74" s="645"/>
      <c r="D74" s="553"/>
      <c r="E74" s="532"/>
      <c r="F74" s="635"/>
      <c r="G74" s="635"/>
      <c r="H74" s="532"/>
      <c r="I74" s="636"/>
      <c r="J74" s="532"/>
      <c r="K74" s="578"/>
      <c r="Q74" s="578"/>
    </row>
    <row r="75" spans="2:17">
      <c r="B75" s="566"/>
      <c r="C75" s="645" t="str">
        <f>+"Average Transmission Plant Balance for "&amp;TCOS!L4&amp;" (TCOS, ln "&amp;TCOS!B68&amp;")"</f>
        <v>Average Transmission Plant Balance for 2022 (TCOS, ln 21)</v>
      </c>
      <c r="D75" s="553"/>
      <c r="H75" s="636">
        <f>TCOS!L68</f>
        <v>154324444.27999997</v>
      </c>
      <c r="J75" s="532"/>
      <c r="K75" s="578"/>
      <c r="Q75" s="578"/>
    </row>
    <row r="76" spans="2:17">
      <c r="B76" s="566"/>
      <c r="C76" s="657" t="str">
        <f>"Annual Depreciation and Amortization Expense (TCOS, ln "&amp;TCOS!B174&amp;")"</f>
        <v>Annual Depreciation and Amortization Expense (TCOS, ln 100)</v>
      </c>
      <c r="D76" s="553"/>
      <c r="E76" s="532"/>
      <c r="H76" s="658">
        <f>TCOS!L174</f>
        <v>2801870.5454922519</v>
      </c>
      <c r="I76" s="636"/>
      <c r="J76" s="532"/>
      <c r="K76" s="578"/>
      <c r="Q76" s="578"/>
    </row>
    <row r="77" spans="2:17">
      <c r="B77" s="566"/>
      <c r="C77" s="645" t="s">
        <v>268</v>
      </c>
      <c r="D77" s="553"/>
      <c r="E77" s="532"/>
      <c r="H77" s="635">
        <f>+H76/H75</f>
        <v>1.8155714466132483E-2</v>
      </c>
      <c r="I77" s="660"/>
      <c r="J77" s="532"/>
      <c r="K77" s="578"/>
      <c r="Q77" s="578"/>
    </row>
    <row r="78" spans="2:17">
      <c r="B78" s="566"/>
      <c r="C78" s="645" t="s">
        <v>269</v>
      </c>
      <c r="D78" s="553"/>
      <c r="E78" s="532"/>
      <c r="H78" s="660">
        <f>1/H77</f>
        <v>55.079077271532967</v>
      </c>
      <c r="I78" s="636"/>
      <c r="J78" s="532"/>
      <c r="K78" s="578"/>
      <c r="Q78" s="578"/>
    </row>
    <row r="79" spans="2:17">
      <c r="B79" s="566"/>
      <c r="C79" s="645" t="s">
        <v>270</v>
      </c>
      <c r="D79" s="553"/>
      <c r="E79" s="532"/>
      <c r="H79" s="661">
        <f>ROUND(H78,0)</f>
        <v>55</v>
      </c>
      <c r="I79" s="636"/>
      <c r="J79" s="532"/>
      <c r="K79" s="578"/>
      <c r="Q79" s="578"/>
    </row>
    <row r="80" spans="2:17">
      <c r="B80" s="566"/>
      <c r="C80" s="645"/>
      <c r="D80" s="553"/>
      <c r="E80" s="532"/>
      <c r="H80" s="661"/>
      <c r="I80" s="636"/>
      <c r="J80" s="532"/>
      <c r="K80" s="578"/>
      <c r="Q80" s="578"/>
    </row>
    <row r="81" spans="1:17">
      <c r="C81" s="662"/>
      <c r="D81" s="663"/>
      <c r="E81" s="663"/>
      <c r="F81" s="663"/>
      <c r="G81" s="663"/>
      <c r="H81" s="659"/>
      <c r="I81" s="659"/>
      <c r="J81" s="664"/>
      <c r="K81" s="664"/>
      <c r="L81" s="664"/>
      <c r="M81" s="664"/>
      <c r="N81" s="664"/>
      <c r="O81" s="664"/>
      <c r="Q81" s="664"/>
    </row>
    <row r="82" spans="1:17">
      <c r="B82" s="319"/>
      <c r="C82" s="662"/>
      <c r="D82" s="663"/>
      <c r="E82" s="663"/>
      <c r="F82" s="663"/>
      <c r="G82" s="663"/>
      <c r="H82" s="659"/>
      <c r="I82" s="659"/>
      <c r="J82" s="664"/>
      <c r="K82" s="664"/>
      <c r="L82" s="664"/>
      <c r="M82" s="664"/>
      <c r="N82" s="664"/>
      <c r="O82" s="664"/>
      <c r="Q82" s="664"/>
    </row>
    <row r="83" spans="1:17" ht="20.25">
      <c r="A83" s="665" t="s">
        <v>764</v>
      </c>
      <c r="B83" s="532"/>
      <c r="C83" s="645"/>
      <c r="D83" s="553"/>
      <c r="E83" s="532"/>
      <c r="F83" s="635"/>
      <c r="G83" s="635"/>
      <c r="H83" s="532"/>
      <c r="I83" s="636"/>
      <c r="L83" s="666"/>
      <c r="M83" s="666"/>
      <c r="N83" s="666"/>
      <c r="O83" s="581" t="str">
        <f>"Page "&amp;SUM(Q$3:Q83)&amp;" of "</f>
        <v xml:space="preserve">Page 2 of </v>
      </c>
      <c r="P83" s="582">
        <f>COUNT(Q$8:Q$58122)</f>
        <v>2</v>
      </c>
      <c r="Q83" s="747">
        <v>1</v>
      </c>
    </row>
    <row r="84" spans="1:17">
      <c r="B84" s="532"/>
      <c r="C84" s="532"/>
      <c r="D84" s="553"/>
      <c r="E84" s="532"/>
      <c r="F84" s="532"/>
      <c r="G84" s="532"/>
      <c r="H84" s="532"/>
      <c r="I84" s="636"/>
      <c r="J84" s="532"/>
      <c r="K84" s="578"/>
      <c r="Q84" s="578"/>
    </row>
    <row r="85" spans="1:17" ht="18">
      <c r="B85" s="585" t="s">
        <v>174</v>
      </c>
      <c r="C85" s="667" t="s">
        <v>290</v>
      </c>
      <c r="D85" s="553"/>
      <c r="E85" s="532"/>
      <c r="F85" s="532"/>
      <c r="G85" s="532"/>
      <c r="H85" s="532"/>
      <c r="I85" s="636"/>
      <c r="J85" s="636"/>
      <c r="K85" s="659"/>
      <c r="L85" s="636"/>
      <c r="M85" s="636"/>
      <c r="N85" s="636"/>
      <c r="O85" s="636"/>
      <c r="Q85" s="659"/>
    </row>
    <row r="86" spans="1:17" ht="18.75">
      <c r="B86" s="585"/>
      <c r="C86" s="584"/>
      <c r="D86" s="553"/>
      <c r="E86" s="532"/>
      <c r="F86" s="532"/>
      <c r="G86" s="532"/>
      <c r="H86" s="532"/>
      <c r="I86" s="636"/>
      <c r="J86" s="636"/>
      <c r="K86" s="659"/>
      <c r="L86" s="636"/>
      <c r="M86" s="636"/>
      <c r="N86" s="636"/>
      <c r="O86" s="636"/>
      <c r="Q86" s="659"/>
    </row>
    <row r="87" spans="1:17" ht="18.75">
      <c r="B87" s="585"/>
      <c r="C87" s="584" t="s">
        <v>291</v>
      </c>
      <c r="D87" s="553"/>
      <c r="E87" s="532"/>
      <c r="F87" s="532"/>
      <c r="G87" s="532"/>
      <c r="H87" s="532"/>
      <c r="I87" s="636"/>
      <c r="J87" s="636"/>
      <c r="K87" s="659"/>
      <c r="L87" s="636"/>
      <c r="M87" s="636"/>
      <c r="N87" s="636"/>
      <c r="O87" s="636"/>
      <c r="Q87" s="659"/>
    </row>
    <row r="88" spans="1:17" ht="15.75" thickBot="1">
      <c r="B88" s="319"/>
      <c r="C88" s="385"/>
      <c r="D88" s="553"/>
      <c r="E88" s="532"/>
      <c r="F88" s="532"/>
      <c r="G88" s="532"/>
      <c r="H88" s="532"/>
      <c r="I88" s="636"/>
      <c r="J88" s="636"/>
      <c r="K88" s="659"/>
      <c r="L88" s="636"/>
      <c r="M88" s="636"/>
      <c r="N88" s="636"/>
      <c r="O88" s="636"/>
      <c r="Q88" s="659"/>
    </row>
    <row r="89" spans="1:17" ht="15.75">
      <c r="B89" s="319"/>
      <c r="C89" s="586" t="s">
        <v>292</v>
      </c>
      <c r="D89" s="553"/>
      <c r="E89" s="532"/>
      <c r="F89" s="532"/>
      <c r="G89" s="532"/>
      <c r="H89" s="855"/>
      <c r="I89" s="532" t="s">
        <v>271</v>
      </c>
      <c r="J89" s="532"/>
      <c r="K89" s="578"/>
      <c r="L89" s="748">
        <f>+J95</f>
        <v>2022</v>
      </c>
      <c r="M89" s="730" t="s">
        <v>254</v>
      </c>
      <c r="N89" s="730" t="s">
        <v>255</v>
      </c>
      <c r="O89" s="731" t="s">
        <v>256</v>
      </c>
      <c r="Q89" s="578"/>
    </row>
    <row r="90" spans="1:17" ht="15.75">
      <c r="B90" s="319"/>
      <c r="C90" s="586"/>
      <c r="D90" s="553"/>
      <c r="E90" s="532"/>
      <c r="F90" s="532"/>
      <c r="H90" s="532"/>
      <c r="I90" s="671"/>
      <c r="J90" s="671"/>
      <c r="K90" s="672"/>
      <c r="L90" s="749" t="s">
        <v>454</v>
      </c>
      <c r="M90" s="750">
        <f>VLOOKUP(J95,C102:P161,10)</f>
        <v>116396.99706073492</v>
      </c>
      <c r="N90" s="750">
        <f>VLOOKUP(J95,C102:P161,12)</f>
        <v>116396.99706073492</v>
      </c>
      <c r="O90" s="751">
        <f>+N90-M90</f>
        <v>0</v>
      </c>
      <c r="Q90" s="672"/>
    </row>
    <row r="91" spans="1:17">
      <c r="B91" s="319"/>
      <c r="C91" s="674" t="s">
        <v>293</v>
      </c>
      <c r="D91" s="865" t="s">
        <v>905</v>
      </c>
      <c r="E91" s="865"/>
      <c r="F91" s="865"/>
      <c r="G91" s="865"/>
      <c r="H91" s="865"/>
      <c r="I91" s="636"/>
      <c r="J91" s="636"/>
      <c r="K91" s="659"/>
      <c r="L91" s="749" t="s">
        <v>455</v>
      </c>
      <c r="M91" s="752">
        <f>VLOOKUP(J95,C102:P161,6)</f>
        <v>112537.96476954849</v>
      </c>
      <c r="N91" s="752">
        <f>VLOOKUP(J95,C102:P161,7)</f>
        <v>112537.96476954849</v>
      </c>
      <c r="O91" s="753">
        <f>+N91-M91</f>
        <v>0</v>
      </c>
      <c r="Q91" s="659"/>
    </row>
    <row r="92" spans="1:17" ht="13.5" thickBot="1">
      <c r="B92" s="319"/>
      <c r="C92" s="676"/>
      <c r="D92" s="677"/>
      <c r="E92" s="661"/>
      <c r="F92" s="661"/>
      <c r="G92" s="661"/>
      <c r="H92" s="678"/>
      <c r="I92" s="636"/>
      <c r="J92" s="636"/>
      <c r="K92" s="659"/>
      <c r="L92" s="695" t="s">
        <v>456</v>
      </c>
      <c r="M92" s="754">
        <f>+M91-M90</f>
        <v>-3859.032291186435</v>
      </c>
      <c r="N92" s="754">
        <f>+N91-N90</f>
        <v>-3859.032291186435</v>
      </c>
      <c r="O92" s="755">
        <f>+O91-O90</f>
        <v>0</v>
      </c>
      <c r="Q92" s="659"/>
    </row>
    <row r="93" spans="1:17" ht="13.5" thickBot="1">
      <c r="B93" s="319"/>
      <c r="C93" s="679"/>
      <c r="D93" s="680"/>
      <c r="E93" s="678"/>
      <c r="F93" s="678"/>
      <c r="G93" s="678"/>
      <c r="H93" s="678"/>
      <c r="I93" s="678"/>
      <c r="J93" s="678"/>
      <c r="K93" s="681"/>
      <c r="L93" s="678"/>
      <c r="M93" s="678"/>
      <c r="N93" s="678"/>
      <c r="O93" s="678"/>
      <c r="P93" s="566"/>
      <c r="Q93" s="681"/>
    </row>
    <row r="94" spans="1:17" ht="13.5" thickBot="1">
      <c r="B94" s="319"/>
      <c r="C94" s="682" t="s">
        <v>294</v>
      </c>
      <c r="D94" s="683"/>
      <c r="E94" s="683"/>
      <c r="F94" s="683"/>
      <c r="G94" s="683"/>
      <c r="H94" s="683"/>
      <c r="I94" s="683"/>
      <c r="J94" s="683"/>
      <c r="K94" s="685"/>
      <c r="P94" s="686"/>
      <c r="Q94" s="685"/>
    </row>
    <row r="95" spans="1:17" ht="15">
      <c r="A95" s="1290"/>
      <c r="B95" s="319"/>
      <c r="C95" s="687" t="s">
        <v>272</v>
      </c>
      <c r="D95" s="856">
        <v>1115334.06</v>
      </c>
      <c r="E95" s="645" t="s">
        <v>273</v>
      </c>
      <c r="H95" s="688"/>
      <c r="I95" s="688"/>
      <c r="J95" s="689">
        <v>2022</v>
      </c>
      <c r="K95" s="576"/>
      <c r="L95" s="1616" t="s">
        <v>274</v>
      </c>
      <c r="M95" s="1616"/>
      <c r="N95" s="1616"/>
      <c r="O95" s="1616"/>
      <c r="P95" s="578"/>
      <c r="Q95" s="576"/>
    </row>
    <row r="96" spans="1:17">
      <c r="A96" s="1290"/>
      <c r="B96" s="319"/>
      <c r="C96" s="687" t="s">
        <v>275</v>
      </c>
      <c r="D96" s="866">
        <v>2013</v>
      </c>
      <c r="E96" s="687" t="s">
        <v>276</v>
      </c>
      <c r="F96" s="688"/>
      <c r="G96" s="688"/>
      <c r="I96" s="319"/>
      <c r="J96" s="859">
        <v>0</v>
      </c>
      <c r="K96" s="690"/>
      <c r="L96" s="659" t="s">
        <v>474</v>
      </c>
      <c r="P96" s="578"/>
      <c r="Q96" s="690"/>
    </row>
    <row r="97" spans="1:17">
      <c r="A97" s="1290"/>
      <c r="B97" s="319"/>
      <c r="C97" s="687" t="s">
        <v>277</v>
      </c>
      <c r="D97" s="857">
        <v>10</v>
      </c>
      <c r="E97" s="687" t="s">
        <v>278</v>
      </c>
      <c r="F97" s="688"/>
      <c r="G97" s="688"/>
      <c r="I97" s="319"/>
      <c r="J97" s="691">
        <f>$F$70</f>
        <v>9.8191454344609908E-2</v>
      </c>
      <c r="K97" s="692"/>
      <c r="L97" s="532" t="str">
        <f>"          INPUT TRUE-UP ARR (WITH &amp; WITHOUT INCENTIVES) FROM EACH PRIOR YEAR"</f>
        <v xml:space="preserve">          INPUT TRUE-UP ARR (WITH &amp; WITHOUT INCENTIVES) FROM EACH PRIOR YEAR</v>
      </c>
      <c r="P97" s="578"/>
      <c r="Q97" s="692"/>
    </row>
    <row r="98" spans="1:17">
      <c r="A98" s="1290"/>
      <c r="B98" s="319"/>
      <c r="C98" s="687" t="s">
        <v>279</v>
      </c>
      <c r="D98" s="693">
        <f>H79</f>
        <v>55</v>
      </c>
      <c r="E98" s="687" t="s">
        <v>280</v>
      </c>
      <c r="F98" s="688"/>
      <c r="G98" s="688"/>
      <c r="I98" s="319"/>
      <c r="J98" s="691">
        <f>IF(H89="",J97,$F$69)</f>
        <v>9.8191454344609908E-2</v>
      </c>
      <c r="K98" s="694"/>
      <c r="L98" s="532" t="s">
        <v>362</v>
      </c>
      <c r="M98" s="694"/>
      <c r="N98" s="694"/>
      <c r="O98" s="694"/>
      <c r="P98" s="578"/>
      <c r="Q98" s="694"/>
    </row>
    <row r="99" spans="1:17" ht="13.5" thickBot="1">
      <c r="A99" s="1290"/>
      <c r="B99" s="319"/>
      <c r="C99" s="687" t="s">
        <v>281</v>
      </c>
      <c r="D99" s="858" t="s">
        <v>894</v>
      </c>
      <c r="E99" s="695" t="s">
        <v>282</v>
      </c>
      <c r="F99" s="696"/>
      <c r="G99" s="696"/>
      <c r="H99" s="697"/>
      <c r="I99" s="697"/>
      <c r="J99" s="675">
        <f>IF(D95=0,0,D95/D98)</f>
        <v>20278.801090909092</v>
      </c>
      <c r="K99" s="659"/>
      <c r="L99" s="659" t="s">
        <v>363</v>
      </c>
      <c r="M99" s="659"/>
      <c r="N99" s="659"/>
      <c r="O99" s="659"/>
      <c r="P99" s="578"/>
      <c r="Q99" s="659"/>
    </row>
    <row r="100" spans="1:17" ht="38.25">
      <c r="A100" s="519"/>
      <c r="B100" s="519"/>
      <c r="C100" s="698" t="s">
        <v>272</v>
      </c>
      <c r="D100" s="699" t="s">
        <v>283</v>
      </c>
      <c r="E100" s="700" t="s">
        <v>284</v>
      </c>
      <c r="F100" s="699" t="s">
        <v>285</v>
      </c>
      <c r="G100" s="699" t="s">
        <v>457</v>
      </c>
      <c r="H100" s="700" t="s">
        <v>356</v>
      </c>
      <c r="I100" s="701" t="s">
        <v>356</v>
      </c>
      <c r="J100" s="698" t="s">
        <v>295</v>
      </c>
      <c r="K100" s="702"/>
      <c r="L100" s="700" t="s">
        <v>358</v>
      </c>
      <c r="M100" s="700" t="s">
        <v>364</v>
      </c>
      <c r="N100" s="700" t="s">
        <v>358</v>
      </c>
      <c r="O100" s="700" t="s">
        <v>366</v>
      </c>
      <c r="P100" s="700" t="s">
        <v>286</v>
      </c>
      <c r="Q100" s="703"/>
    </row>
    <row r="101" spans="1:17" ht="13.5" thickBot="1">
      <c r="B101" s="319"/>
      <c r="C101" s="704" t="s">
        <v>177</v>
      </c>
      <c r="D101" s="705" t="s">
        <v>178</v>
      </c>
      <c r="E101" s="704" t="s">
        <v>37</v>
      </c>
      <c r="F101" s="705" t="s">
        <v>178</v>
      </c>
      <c r="G101" s="705" t="s">
        <v>178</v>
      </c>
      <c r="H101" s="706" t="s">
        <v>298</v>
      </c>
      <c r="I101" s="707" t="s">
        <v>300</v>
      </c>
      <c r="J101" s="708" t="s">
        <v>389</v>
      </c>
      <c r="K101" s="709"/>
      <c r="L101" s="706" t="s">
        <v>287</v>
      </c>
      <c r="M101" s="706" t="s">
        <v>287</v>
      </c>
      <c r="N101" s="706" t="s">
        <v>466</v>
      </c>
      <c r="O101" s="706" t="s">
        <v>466</v>
      </c>
      <c r="P101" s="706" t="s">
        <v>466</v>
      </c>
      <c r="Q101" s="576"/>
    </row>
    <row r="102" spans="1:17">
      <c r="B102" s="319"/>
      <c r="C102" s="710">
        <f>IF(D96= "","-",D96)</f>
        <v>2013</v>
      </c>
      <c r="D102" s="663">
        <f>+D95</f>
        <v>1115334.06</v>
      </c>
      <c r="E102" s="711">
        <f>+J99/12*(12-D97)</f>
        <v>3379.800181818182</v>
      </c>
      <c r="F102" s="756">
        <f t="shared" ref="F102:F133" si="0">+D102-E102</f>
        <v>1111954.2598181819</v>
      </c>
      <c r="G102" s="663">
        <f t="shared" ref="G102:G133" si="1">+(D102+F102)/2</f>
        <v>1113644.159909091</v>
      </c>
      <c r="H102" s="712">
        <f>+J97*G102+E102</f>
        <v>112730.13986567315</v>
      </c>
      <c r="I102" s="713">
        <f>+J98*G102+E102</f>
        <v>112730.13986567315</v>
      </c>
      <c r="J102" s="714">
        <f t="shared" ref="J102:J133" si="2">+I102-H102</f>
        <v>0</v>
      </c>
      <c r="K102" s="714"/>
      <c r="L102" s="715">
        <v>44166</v>
      </c>
      <c r="M102" s="757">
        <f t="shared" ref="M102:M133" si="3">IF(L102&lt;&gt;0,+H102-L102,0)</f>
        <v>68564.139865673147</v>
      </c>
      <c r="N102" s="715">
        <v>44166</v>
      </c>
      <c r="O102" s="757">
        <f t="shared" ref="O102:O133" si="4">IF(N102&lt;&gt;0,+I102-N102,0)</f>
        <v>68564.139865673147</v>
      </c>
      <c r="P102" s="757">
        <f t="shared" ref="P102:P133" si="5">+O102-M102</f>
        <v>0</v>
      </c>
      <c r="Q102" s="664"/>
    </row>
    <row r="103" spans="1:17">
      <c r="B103" s="319"/>
      <c r="C103" s="710">
        <f>IF(D96="","-",+C102+1)</f>
        <v>2014</v>
      </c>
      <c r="D103" s="663">
        <f t="shared" ref="D103:D134" si="6">F102</f>
        <v>1111954.2598181819</v>
      </c>
      <c r="E103" s="717">
        <f t="shared" ref="E103:E134" si="7">IF(D103&gt;$J$99,$J$99,D103)</f>
        <v>20278.801090909092</v>
      </c>
      <c r="F103" s="717">
        <f t="shared" si="0"/>
        <v>1091675.4587272727</v>
      </c>
      <c r="G103" s="663">
        <f t="shared" si="1"/>
        <v>1101814.8592727273</v>
      </c>
      <c r="H103" s="711">
        <f>+J97*G103+E103</f>
        <v>128467.60454139988</v>
      </c>
      <c r="I103" s="718">
        <f>+J98*G103+E103</f>
        <v>128467.60454139988</v>
      </c>
      <c r="J103" s="714">
        <f t="shared" si="2"/>
        <v>0</v>
      </c>
      <c r="K103" s="714"/>
      <c r="L103" s="719">
        <v>33234</v>
      </c>
      <c r="M103" s="714">
        <f t="shared" si="3"/>
        <v>95233.60454139988</v>
      </c>
      <c r="N103" s="719">
        <v>33234</v>
      </c>
      <c r="O103" s="714">
        <f t="shared" si="4"/>
        <v>95233.60454139988</v>
      </c>
      <c r="P103" s="714">
        <f t="shared" si="5"/>
        <v>0</v>
      </c>
      <c r="Q103" s="664"/>
    </row>
    <row r="104" spans="1:17">
      <c r="B104" s="319"/>
      <c r="C104" s="710">
        <f>IF(D96="","-",+C103+1)</f>
        <v>2015</v>
      </c>
      <c r="D104" s="663">
        <f t="shared" si="6"/>
        <v>1091675.4587272727</v>
      </c>
      <c r="E104" s="717">
        <f t="shared" si="7"/>
        <v>20278.801090909092</v>
      </c>
      <c r="F104" s="717">
        <f t="shared" si="0"/>
        <v>1071396.6576363635</v>
      </c>
      <c r="G104" s="663">
        <f t="shared" si="1"/>
        <v>1081536.0581818181</v>
      </c>
      <c r="H104" s="711">
        <f>+J97*G104+E104</f>
        <v>126476.39956991846</v>
      </c>
      <c r="I104" s="718">
        <f>+J98*G104+E104</f>
        <v>126476.39956991846</v>
      </c>
      <c r="J104" s="714">
        <f t="shared" si="2"/>
        <v>0</v>
      </c>
      <c r="K104" s="714"/>
      <c r="L104" s="719">
        <v>58699</v>
      </c>
      <c r="M104" s="714">
        <f t="shared" si="3"/>
        <v>67777.39956991846</v>
      </c>
      <c r="N104" s="719">
        <v>58699</v>
      </c>
      <c r="O104" s="714">
        <f t="shared" si="4"/>
        <v>67777.39956991846</v>
      </c>
      <c r="P104" s="714">
        <f t="shared" si="5"/>
        <v>0</v>
      </c>
      <c r="Q104" s="664"/>
    </row>
    <row r="105" spans="1:17">
      <c r="B105" s="319"/>
      <c r="C105" s="710">
        <f>IF(D96="","-",+C104+1)</f>
        <v>2016</v>
      </c>
      <c r="D105" s="663">
        <f t="shared" si="6"/>
        <v>1071396.6576363635</v>
      </c>
      <c r="E105" s="717">
        <f t="shared" si="7"/>
        <v>20278.801090909092</v>
      </c>
      <c r="F105" s="717">
        <f t="shared" si="0"/>
        <v>1051117.8565454544</v>
      </c>
      <c r="G105" s="663">
        <f t="shared" si="1"/>
        <v>1061257.2570909089</v>
      </c>
      <c r="H105" s="711">
        <f>+J97*G105+E105</f>
        <v>124485.19459843702</v>
      </c>
      <c r="I105" s="718">
        <f>+J98*G105+E105</f>
        <v>124485.19459843702</v>
      </c>
      <c r="J105" s="714">
        <f t="shared" si="2"/>
        <v>0</v>
      </c>
      <c r="K105" s="714"/>
      <c r="L105" s="719">
        <v>107095</v>
      </c>
      <c r="M105" s="714">
        <f t="shared" si="3"/>
        <v>17390.194598437025</v>
      </c>
      <c r="N105" s="719">
        <v>107095</v>
      </c>
      <c r="O105" s="714">
        <f t="shared" si="4"/>
        <v>17390.194598437025</v>
      </c>
      <c r="P105" s="714">
        <f t="shared" si="5"/>
        <v>0</v>
      </c>
      <c r="Q105" s="664"/>
    </row>
    <row r="106" spans="1:17">
      <c r="B106" s="319"/>
      <c r="C106" s="710">
        <f>IF(D96="","-",+C105+1)</f>
        <v>2017</v>
      </c>
      <c r="D106" s="663">
        <f t="shared" si="6"/>
        <v>1051117.8565454544</v>
      </c>
      <c r="E106" s="717">
        <f t="shared" si="7"/>
        <v>20278.801090909092</v>
      </c>
      <c r="F106" s="717">
        <f t="shared" si="0"/>
        <v>1030839.0554545453</v>
      </c>
      <c r="G106" s="663">
        <f t="shared" si="1"/>
        <v>1040978.4559999998</v>
      </c>
      <c r="H106" s="711">
        <f>+J97*G106+E106</f>
        <v>122493.98962695559</v>
      </c>
      <c r="I106" s="718">
        <f>+J98*G106+E106</f>
        <v>122493.98962695559</v>
      </c>
      <c r="J106" s="714">
        <f t="shared" si="2"/>
        <v>0</v>
      </c>
      <c r="K106" s="714"/>
      <c r="L106" s="719">
        <v>154474</v>
      </c>
      <c r="M106" s="714">
        <f t="shared" si="3"/>
        <v>-31980.01037304441</v>
      </c>
      <c r="N106" s="719">
        <v>154474</v>
      </c>
      <c r="O106" s="714">
        <f t="shared" si="4"/>
        <v>-31980.01037304441</v>
      </c>
      <c r="P106" s="714">
        <f t="shared" si="5"/>
        <v>0</v>
      </c>
      <c r="Q106" s="664"/>
    </row>
    <row r="107" spans="1:17">
      <c r="B107" s="319"/>
      <c r="C107" s="710">
        <f>IF(D96="","-",+C106+1)</f>
        <v>2018</v>
      </c>
      <c r="D107" s="1390">
        <f t="shared" si="6"/>
        <v>1030839.0554545453</v>
      </c>
      <c r="E107" s="717">
        <f t="shared" si="7"/>
        <v>20278.801090909092</v>
      </c>
      <c r="F107" s="717">
        <f t="shared" si="0"/>
        <v>1010560.2543636363</v>
      </c>
      <c r="G107" s="663">
        <f t="shared" si="1"/>
        <v>1020699.6549090908</v>
      </c>
      <c r="H107" s="711">
        <f>+J97*G107+E107</f>
        <v>120502.78465547417</v>
      </c>
      <c r="I107" s="718">
        <f>+J98*G107+E107</f>
        <v>120502.78465547417</v>
      </c>
      <c r="J107" s="714">
        <f t="shared" si="2"/>
        <v>0</v>
      </c>
      <c r="K107" s="714"/>
      <c r="L107" s="719">
        <v>130159</v>
      </c>
      <c r="M107" s="714">
        <f t="shared" si="3"/>
        <v>-9656.21534452583</v>
      </c>
      <c r="N107" s="719">
        <v>130159</v>
      </c>
      <c r="O107" s="714">
        <f t="shared" si="4"/>
        <v>-9656.21534452583</v>
      </c>
      <c r="P107" s="714">
        <f t="shared" si="5"/>
        <v>0</v>
      </c>
      <c r="Q107" s="664"/>
    </row>
    <row r="108" spans="1:17">
      <c r="B108" s="319"/>
      <c r="C108" s="710">
        <f>IF(D96="","-",+C107+1)</f>
        <v>2019</v>
      </c>
      <c r="D108" s="663">
        <f t="shared" si="6"/>
        <v>1010560.2543636363</v>
      </c>
      <c r="E108" s="717">
        <f t="shared" si="7"/>
        <v>20278.801090909092</v>
      </c>
      <c r="F108" s="717">
        <f t="shared" si="0"/>
        <v>990281.4532727272</v>
      </c>
      <c r="G108" s="663">
        <f t="shared" si="1"/>
        <v>1000420.8538181817</v>
      </c>
      <c r="H108" s="711">
        <f>+J97*G108+E108</f>
        <v>118511.57968399275</v>
      </c>
      <c r="I108" s="718">
        <f>+J98*G108+E108</f>
        <v>118511.57968399275</v>
      </c>
      <c r="J108" s="714">
        <f t="shared" si="2"/>
        <v>0</v>
      </c>
      <c r="K108" s="714"/>
      <c r="L108" s="719">
        <v>131099.94287746924</v>
      </c>
      <c r="M108" s="714">
        <f t="shared" si="3"/>
        <v>-12588.363193476485</v>
      </c>
      <c r="N108" s="719">
        <v>131099.94287746924</v>
      </c>
      <c r="O108" s="714">
        <f t="shared" si="4"/>
        <v>-12588.363193476485</v>
      </c>
      <c r="P108" s="714">
        <f t="shared" si="5"/>
        <v>0</v>
      </c>
      <c r="Q108" s="664"/>
    </row>
    <row r="109" spans="1:17">
      <c r="B109" s="319"/>
      <c r="C109" s="710">
        <f>IF(D96="","-",+C108+1)</f>
        <v>2020</v>
      </c>
      <c r="D109" s="663">
        <f t="shared" si="6"/>
        <v>990281.4532727272</v>
      </c>
      <c r="E109" s="717">
        <f t="shared" si="7"/>
        <v>20278.801090909092</v>
      </c>
      <c r="F109" s="717">
        <f t="shared" si="0"/>
        <v>970002.65218181815</v>
      </c>
      <c r="G109" s="663">
        <f t="shared" si="1"/>
        <v>980142.05272727273</v>
      </c>
      <c r="H109" s="711">
        <f>+J97*G109+E109</f>
        <v>116520.37471251133</v>
      </c>
      <c r="I109" s="718">
        <f>+J98*G109+E109</f>
        <v>116520.37471251133</v>
      </c>
      <c r="J109" s="714">
        <f t="shared" si="2"/>
        <v>0</v>
      </c>
      <c r="K109" s="714"/>
      <c r="L109" s="719">
        <v>117846.80334090827</v>
      </c>
      <c r="M109" s="714">
        <f t="shared" si="3"/>
        <v>-1326.4286283969413</v>
      </c>
      <c r="N109" s="719">
        <v>117846.80334090827</v>
      </c>
      <c r="O109" s="714">
        <f t="shared" si="4"/>
        <v>-1326.4286283969413</v>
      </c>
      <c r="P109" s="714">
        <f t="shared" si="5"/>
        <v>0</v>
      </c>
      <c r="Q109" s="664"/>
    </row>
    <row r="110" spans="1:17">
      <c r="B110" s="319"/>
      <c r="C110" s="710">
        <f>IF(D96="","-",+C109+1)</f>
        <v>2021</v>
      </c>
      <c r="D110" s="663">
        <f t="shared" si="6"/>
        <v>970002.65218181815</v>
      </c>
      <c r="E110" s="717">
        <f t="shared" si="7"/>
        <v>20278.801090909092</v>
      </c>
      <c r="F110" s="717">
        <f t="shared" si="0"/>
        <v>949723.8510909091</v>
      </c>
      <c r="G110" s="663">
        <f t="shared" si="1"/>
        <v>959863.25163636357</v>
      </c>
      <c r="H110" s="711">
        <f>+J97*G110+E110</f>
        <v>114529.16974102989</v>
      </c>
      <c r="I110" s="718">
        <f>+J98*G110+E110</f>
        <v>114529.16974102989</v>
      </c>
      <c r="J110" s="714">
        <f t="shared" si="2"/>
        <v>0</v>
      </c>
      <c r="K110" s="714"/>
      <c r="L110" s="719">
        <v>118221.54112551096</v>
      </c>
      <c r="M110" s="714">
        <f t="shared" si="3"/>
        <v>-3692.37138448107</v>
      </c>
      <c r="N110" s="719">
        <v>118221.54112551096</v>
      </c>
      <c r="O110" s="714">
        <f t="shared" si="4"/>
        <v>-3692.37138448107</v>
      </c>
      <c r="P110" s="714">
        <f t="shared" si="5"/>
        <v>0</v>
      </c>
      <c r="Q110" s="664"/>
    </row>
    <row r="111" spans="1:17">
      <c r="B111" s="319"/>
      <c r="C111" s="710">
        <f>IF(D96="","-",+C110+1)</f>
        <v>2022</v>
      </c>
      <c r="D111" s="663">
        <f t="shared" si="6"/>
        <v>949723.8510909091</v>
      </c>
      <c r="E111" s="717">
        <f t="shared" si="7"/>
        <v>20278.801090909092</v>
      </c>
      <c r="F111" s="717">
        <f t="shared" si="0"/>
        <v>929445.05</v>
      </c>
      <c r="G111" s="663">
        <f t="shared" si="1"/>
        <v>939584.45054545463</v>
      </c>
      <c r="H111" s="711">
        <f>+J97*G111+E111</f>
        <v>112537.96476954849</v>
      </c>
      <c r="I111" s="718">
        <f>+J98*G111+E111</f>
        <v>112537.96476954849</v>
      </c>
      <c r="J111" s="714">
        <f t="shared" si="2"/>
        <v>0</v>
      </c>
      <c r="K111" s="714"/>
      <c r="L111" s="719">
        <v>116396.99706073492</v>
      </c>
      <c r="M111" s="714">
        <f t="shared" si="3"/>
        <v>-3859.032291186435</v>
      </c>
      <c r="N111" s="719">
        <v>116396.99706073492</v>
      </c>
      <c r="O111" s="714">
        <f t="shared" si="4"/>
        <v>-3859.032291186435</v>
      </c>
      <c r="P111" s="714">
        <f t="shared" si="5"/>
        <v>0</v>
      </c>
      <c r="Q111" s="664"/>
    </row>
    <row r="112" spans="1:17">
      <c r="B112" s="319"/>
      <c r="C112" s="710">
        <f>IF(D96="","-",+C111+1)</f>
        <v>2023</v>
      </c>
      <c r="D112" s="663">
        <f t="shared" si="6"/>
        <v>929445.05</v>
      </c>
      <c r="E112" s="717">
        <f t="shared" si="7"/>
        <v>20278.801090909092</v>
      </c>
      <c r="F112" s="717">
        <f t="shared" si="0"/>
        <v>909166.24890909099</v>
      </c>
      <c r="G112" s="663">
        <f t="shared" si="1"/>
        <v>919305.64945454546</v>
      </c>
      <c r="H112" s="711">
        <f>+J97*G112+E112</f>
        <v>110546.75979806705</v>
      </c>
      <c r="I112" s="718">
        <f>+J98*G112+E112</f>
        <v>110546.75979806705</v>
      </c>
      <c r="J112" s="714">
        <f t="shared" si="2"/>
        <v>0</v>
      </c>
      <c r="K112" s="714"/>
      <c r="L112" s="719"/>
      <c r="M112" s="714">
        <f t="shared" si="3"/>
        <v>0</v>
      </c>
      <c r="N112" s="719"/>
      <c r="O112" s="714">
        <f t="shared" si="4"/>
        <v>0</v>
      </c>
      <c r="P112" s="714">
        <f t="shared" si="5"/>
        <v>0</v>
      </c>
      <c r="Q112" s="664"/>
    </row>
    <row r="113" spans="2:17">
      <c r="B113" s="319"/>
      <c r="C113" s="710">
        <f>IF(D96="","-",+C112+1)</f>
        <v>2024</v>
      </c>
      <c r="D113" s="663">
        <f t="shared" si="6"/>
        <v>909166.24890909099</v>
      </c>
      <c r="E113" s="717">
        <f t="shared" si="7"/>
        <v>20278.801090909092</v>
      </c>
      <c r="F113" s="717">
        <f t="shared" si="0"/>
        <v>888887.44781818194</v>
      </c>
      <c r="G113" s="663">
        <f t="shared" si="1"/>
        <v>899026.84836363653</v>
      </c>
      <c r="H113" s="711">
        <f>+J97*G113+E113</f>
        <v>108555.55482658565</v>
      </c>
      <c r="I113" s="718">
        <f>+J98*G113+E113</f>
        <v>108555.55482658565</v>
      </c>
      <c r="J113" s="714">
        <f t="shared" si="2"/>
        <v>0</v>
      </c>
      <c r="K113" s="714"/>
      <c r="L113" s="719"/>
      <c r="M113" s="714">
        <f t="shared" si="3"/>
        <v>0</v>
      </c>
      <c r="N113" s="719"/>
      <c r="O113" s="714">
        <f t="shared" si="4"/>
        <v>0</v>
      </c>
      <c r="P113" s="714">
        <f t="shared" si="5"/>
        <v>0</v>
      </c>
      <c r="Q113" s="664"/>
    </row>
    <row r="114" spans="2:17">
      <c r="B114" s="319"/>
      <c r="C114" s="710">
        <f>IF(D96="","-",+C113+1)</f>
        <v>2025</v>
      </c>
      <c r="D114" s="663">
        <f t="shared" si="6"/>
        <v>888887.44781818194</v>
      </c>
      <c r="E114" s="717">
        <f t="shared" si="7"/>
        <v>20278.801090909092</v>
      </c>
      <c r="F114" s="717">
        <f t="shared" si="0"/>
        <v>868608.64672727289</v>
      </c>
      <c r="G114" s="663">
        <f t="shared" si="1"/>
        <v>878748.04727272736</v>
      </c>
      <c r="H114" s="711">
        <f>+J97*G114+E114</f>
        <v>106564.34985510421</v>
      </c>
      <c r="I114" s="718">
        <f>+J98*G114+E114</f>
        <v>106564.34985510421</v>
      </c>
      <c r="J114" s="714">
        <f t="shared" si="2"/>
        <v>0</v>
      </c>
      <c r="K114" s="714"/>
      <c r="L114" s="719"/>
      <c r="M114" s="714">
        <f t="shared" si="3"/>
        <v>0</v>
      </c>
      <c r="N114" s="719"/>
      <c r="O114" s="714">
        <f t="shared" si="4"/>
        <v>0</v>
      </c>
      <c r="P114" s="714">
        <f t="shared" si="5"/>
        <v>0</v>
      </c>
      <c r="Q114" s="664"/>
    </row>
    <row r="115" spans="2:17">
      <c r="B115" s="319"/>
      <c r="C115" s="710">
        <f>IF(D96="","-",+C114+1)</f>
        <v>2026</v>
      </c>
      <c r="D115" s="663">
        <f t="shared" si="6"/>
        <v>868608.64672727289</v>
      </c>
      <c r="E115" s="717">
        <f t="shared" si="7"/>
        <v>20278.801090909092</v>
      </c>
      <c r="F115" s="717">
        <f t="shared" si="0"/>
        <v>848329.84563636384</v>
      </c>
      <c r="G115" s="663">
        <f t="shared" si="1"/>
        <v>858469.24618181842</v>
      </c>
      <c r="H115" s="711">
        <f>+J97*G115+E115</f>
        <v>104573.14488362281</v>
      </c>
      <c r="I115" s="718">
        <f>+J98*G115+E115</f>
        <v>104573.14488362281</v>
      </c>
      <c r="J115" s="714">
        <f t="shared" si="2"/>
        <v>0</v>
      </c>
      <c r="K115" s="714"/>
      <c r="L115" s="719"/>
      <c r="M115" s="714">
        <f t="shared" si="3"/>
        <v>0</v>
      </c>
      <c r="N115" s="719"/>
      <c r="O115" s="714">
        <f t="shared" si="4"/>
        <v>0</v>
      </c>
      <c r="P115" s="714">
        <f t="shared" si="5"/>
        <v>0</v>
      </c>
      <c r="Q115" s="664"/>
    </row>
    <row r="116" spans="2:17">
      <c r="B116" s="319"/>
      <c r="C116" s="710">
        <f>IF(D96="","-",+C115+1)</f>
        <v>2027</v>
      </c>
      <c r="D116" s="663">
        <f t="shared" si="6"/>
        <v>848329.84563636384</v>
      </c>
      <c r="E116" s="717">
        <f t="shared" si="7"/>
        <v>20278.801090909092</v>
      </c>
      <c r="F116" s="717">
        <f t="shared" si="0"/>
        <v>828051.04454545479</v>
      </c>
      <c r="G116" s="663">
        <f t="shared" si="1"/>
        <v>838190.44509090926</v>
      </c>
      <c r="H116" s="711">
        <f>+J97*G116+E116</f>
        <v>102581.93991214137</v>
      </c>
      <c r="I116" s="718">
        <f>+J98*G116+E116</f>
        <v>102581.93991214137</v>
      </c>
      <c r="J116" s="714">
        <f t="shared" si="2"/>
        <v>0</v>
      </c>
      <c r="K116" s="714"/>
      <c r="L116" s="719"/>
      <c r="M116" s="714">
        <f t="shared" si="3"/>
        <v>0</v>
      </c>
      <c r="N116" s="719"/>
      <c r="O116" s="714">
        <f t="shared" si="4"/>
        <v>0</v>
      </c>
      <c r="P116" s="714">
        <f t="shared" si="5"/>
        <v>0</v>
      </c>
      <c r="Q116" s="664"/>
    </row>
    <row r="117" spans="2:17">
      <c r="B117" s="319"/>
      <c r="C117" s="710">
        <f>IF(D96="","-",+C116+1)</f>
        <v>2028</v>
      </c>
      <c r="D117" s="663">
        <f t="shared" si="6"/>
        <v>828051.04454545479</v>
      </c>
      <c r="E117" s="717">
        <f t="shared" si="7"/>
        <v>20278.801090909092</v>
      </c>
      <c r="F117" s="717">
        <f t="shared" si="0"/>
        <v>807772.24345454574</v>
      </c>
      <c r="G117" s="663">
        <f t="shared" si="1"/>
        <v>817911.64400000032</v>
      </c>
      <c r="H117" s="711">
        <f>+J97*G117+E117</f>
        <v>100590.73494065995</v>
      </c>
      <c r="I117" s="718">
        <f>+J98*G117+E117</f>
        <v>100590.73494065995</v>
      </c>
      <c r="J117" s="714">
        <f t="shared" si="2"/>
        <v>0</v>
      </c>
      <c r="K117" s="714"/>
      <c r="L117" s="719"/>
      <c r="M117" s="714">
        <f t="shared" si="3"/>
        <v>0</v>
      </c>
      <c r="N117" s="719"/>
      <c r="O117" s="714">
        <f t="shared" si="4"/>
        <v>0</v>
      </c>
      <c r="P117" s="714">
        <f t="shared" si="5"/>
        <v>0</v>
      </c>
      <c r="Q117" s="664"/>
    </row>
    <row r="118" spans="2:17">
      <c r="B118" s="319"/>
      <c r="C118" s="710">
        <f>IF(D96="","-",+C117+1)</f>
        <v>2029</v>
      </c>
      <c r="D118" s="663">
        <f t="shared" si="6"/>
        <v>807772.24345454574</v>
      </c>
      <c r="E118" s="717">
        <f t="shared" si="7"/>
        <v>20278.801090909092</v>
      </c>
      <c r="F118" s="717">
        <f t="shared" si="0"/>
        <v>787493.44236363668</v>
      </c>
      <c r="G118" s="663">
        <f t="shared" si="1"/>
        <v>797632.84290909115</v>
      </c>
      <c r="H118" s="711">
        <f>+J97*G118+E118</f>
        <v>98599.529969178519</v>
      </c>
      <c r="I118" s="718">
        <f>+J98*G118+E118</f>
        <v>98599.529969178519</v>
      </c>
      <c r="J118" s="714">
        <f t="shared" si="2"/>
        <v>0</v>
      </c>
      <c r="K118" s="714"/>
      <c r="L118" s="719"/>
      <c r="M118" s="714">
        <f t="shared" si="3"/>
        <v>0</v>
      </c>
      <c r="N118" s="719"/>
      <c r="O118" s="714">
        <f t="shared" si="4"/>
        <v>0</v>
      </c>
      <c r="P118" s="714">
        <f t="shared" si="5"/>
        <v>0</v>
      </c>
      <c r="Q118" s="664"/>
    </row>
    <row r="119" spans="2:17">
      <c r="B119" s="319"/>
      <c r="C119" s="710">
        <f>IF(D96="","-",+C118+1)</f>
        <v>2030</v>
      </c>
      <c r="D119" s="663">
        <f t="shared" si="6"/>
        <v>787493.44236363668</v>
      </c>
      <c r="E119" s="717">
        <f t="shared" si="7"/>
        <v>20278.801090909092</v>
      </c>
      <c r="F119" s="717">
        <f t="shared" si="0"/>
        <v>767214.64127272763</v>
      </c>
      <c r="G119" s="663">
        <f t="shared" si="1"/>
        <v>777354.04181818222</v>
      </c>
      <c r="H119" s="711">
        <f>+J97*G119+E119</f>
        <v>96608.324997697113</v>
      </c>
      <c r="I119" s="718">
        <f>+J98*G119+E119</f>
        <v>96608.324997697113</v>
      </c>
      <c r="J119" s="714">
        <f t="shared" si="2"/>
        <v>0</v>
      </c>
      <c r="K119" s="714"/>
      <c r="L119" s="719"/>
      <c r="M119" s="714">
        <f t="shared" si="3"/>
        <v>0</v>
      </c>
      <c r="N119" s="719"/>
      <c r="O119" s="714">
        <f t="shared" si="4"/>
        <v>0</v>
      </c>
      <c r="P119" s="714">
        <f t="shared" si="5"/>
        <v>0</v>
      </c>
      <c r="Q119" s="664"/>
    </row>
    <row r="120" spans="2:17">
      <c r="B120" s="319"/>
      <c r="C120" s="710">
        <f>IF(D96="","-",+C119+1)</f>
        <v>2031</v>
      </c>
      <c r="D120" s="663">
        <f t="shared" si="6"/>
        <v>767214.64127272763</v>
      </c>
      <c r="E120" s="717">
        <f t="shared" si="7"/>
        <v>20278.801090909092</v>
      </c>
      <c r="F120" s="717">
        <f t="shared" si="0"/>
        <v>746935.84018181858</v>
      </c>
      <c r="G120" s="663">
        <f t="shared" si="1"/>
        <v>757075.24072727305</v>
      </c>
      <c r="H120" s="711">
        <f>+J97*G120+E120</f>
        <v>94617.120026215678</v>
      </c>
      <c r="I120" s="718">
        <f>+J98*G120+E120</f>
        <v>94617.120026215678</v>
      </c>
      <c r="J120" s="714">
        <f t="shared" si="2"/>
        <v>0</v>
      </c>
      <c r="K120" s="714"/>
      <c r="L120" s="719"/>
      <c r="M120" s="714">
        <f t="shared" si="3"/>
        <v>0</v>
      </c>
      <c r="N120" s="719"/>
      <c r="O120" s="714">
        <f t="shared" si="4"/>
        <v>0</v>
      </c>
      <c r="P120" s="714">
        <f t="shared" si="5"/>
        <v>0</v>
      </c>
      <c r="Q120" s="664"/>
    </row>
    <row r="121" spans="2:17">
      <c r="B121" s="319"/>
      <c r="C121" s="710">
        <f>IF(D96="","-",+C120+1)</f>
        <v>2032</v>
      </c>
      <c r="D121" s="663">
        <f t="shared" si="6"/>
        <v>746935.84018181858</v>
      </c>
      <c r="E121" s="717">
        <f t="shared" si="7"/>
        <v>20278.801090909092</v>
      </c>
      <c r="F121" s="717">
        <f t="shared" si="0"/>
        <v>726657.03909090953</v>
      </c>
      <c r="G121" s="663">
        <f t="shared" si="1"/>
        <v>736796.43963636411</v>
      </c>
      <c r="H121" s="711">
        <f>+J97*G121+E121</f>
        <v>92625.915054734272</v>
      </c>
      <c r="I121" s="718">
        <f>+J98*G121+E121</f>
        <v>92625.915054734272</v>
      </c>
      <c r="J121" s="714">
        <f t="shared" si="2"/>
        <v>0</v>
      </c>
      <c r="K121" s="714"/>
      <c r="L121" s="719"/>
      <c r="M121" s="714">
        <f t="shared" si="3"/>
        <v>0</v>
      </c>
      <c r="N121" s="719"/>
      <c r="O121" s="714">
        <f t="shared" si="4"/>
        <v>0</v>
      </c>
      <c r="P121" s="714">
        <f t="shared" si="5"/>
        <v>0</v>
      </c>
      <c r="Q121" s="664"/>
    </row>
    <row r="122" spans="2:17">
      <c r="B122" s="319"/>
      <c r="C122" s="710">
        <f>IF(D96="","-",+C121+1)</f>
        <v>2033</v>
      </c>
      <c r="D122" s="663">
        <f t="shared" si="6"/>
        <v>726657.03909090953</v>
      </c>
      <c r="E122" s="717">
        <f t="shared" si="7"/>
        <v>20278.801090909092</v>
      </c>
      <c r="F122" s="717">
        <f t="shared" si="0"/>
        <v>706378.23800000048</v>
      </c>
      <c r="G122" s="663">
        <f t="shared" si="1"/>
        <v>716517.63854545495</v>
      </c>
      <c r="H122" s="711">
        <f>+J97*G122+E122</f>
        <v>90634.710083252838</v>
      </c>
      <c r="I122" s="718">
        <f>+J98*G122+E122</f>
        <v>90634.710083252838</v>
      </c>
      <c r="J122" s="714">
        <f t="shared" si="2"/>
        <v>0</v>
      </c>
      <c r="K122" s="714"/>
      <c r="L122" s="719"/>
      <c r="M122" s="714">
        <f t="shared" si="3"/>
        <v>0</v>
      </c>
      <c r="N122" s="719"/>
      <c r="O122" s="714">
        <f t="shared" si="4"/>
        <v>0</v>
      </c>
      <c r="P122" s="714">
        <f t="shared" si="5"/>
        <v>0</v>
      </c>
      <c r="Q122" s="664"/>
    </row>
    <row r="123" spans="2:17">
      <c r="B123" s="319"/>
      <c r="C123" s="710">
        <f>IF(D96="","-",+C122+1)</f>
        <v>2034</v>
      </c>
      <c r="D123" s="663">
        <f t="shared" si="6"/>
        <v>706378.23800000048</v>
      </c>
      <c r="E123" s="717">
        <f t="shared" si="7"/>
        <v>20278.801090909092</v>
      </c>
      <c r="F123" s="717">
        <f t="shared" si="0"/>
        <v>686099.43690909143</v>
      </c>
      <c r="G123" s="663">
        <f t="shared" si="1"/>
        <v>696238.83745454601</v>
      </c>
      <c r="H123" s="711">
        <f>+J97*G123+E123</f>
        <v>88643.505111771432</v>
      </c>
      <c r="I123" s="718">
        <f>+J98*G123+E123</f>
        <v>88643.505111771432</v>
      </c>
      <c r="J123" s="714">
        <f t="shared" si="2"/>
        <v>0</v>
      </c>
      <c r="K123" s="714"/>
      <c r="L123" s="719"/>
      <c r="M123" s="714">
        <f t="shared" si="3"/>
        <v>0</v>
      </c>
      <c r="N123" s="719"/>
      <c r="O123" s="714">
        <f t="shared" si="4"/>
        <v>0</v>
      </c>
      <c r="P123" s="714">
        <f t="shared" si="5"/>
        <v>0</v>
      </c>
      <c r="Q123" s="664"/>
    </row>
    <row r="124" spans="2:17">
      <c r="B124" s="319"/>
      <c r="C124" s="710">
        <f>IF(D96="","-",+C123+1)</f>
        <v>2035</v>
      </c>
      <c r="D124" s="663">
        <f t="shared" si="6"/>
        <v>686099.43690909143</v>
      </c>
      <c r="E124" s="717">
        <f t="shared" si="7"/>
        <v>20278.801090909092</v>
      </c>
      <c r="F124" s="717">
        <f t="shared" si="0"/>
        <v>665820.63581818237</v>
      </c>
      <c r="G124" s="663">
        <f t="shared" si="1"/>
        <v>675960.03636363684</v>
      </c>
      <c r="H124" s="711">
        <f>+J97*G124+E124</f>
        <v>86652.300140289997</v>
      </c>
      <c r="I124" s="718">
        <f>+J98*G124+E124</f>
        <v>86652.300140289997</v>
      </c>
      <c r="J124" s="714">
        <f t="shared" si="2"/>
        <v>0</v>
      </c>
      <c r="K124" s="714"/>
      <c r="L124" s="719"/>
      <c r="M124" s="714">
        <f t="shared" si="3"/>
        <v>0</v>
      </c>
      <c r="N124" s="719"/>
      <c r="O124" s="714">
        <f t="shared" si="4"/>
        <v>0</v>
      </c>
      <c r="P124" s="714">
        <f t="shared" si="5"/>
        <v>0</v>
      </c>
      <c r="Q124" s="664"/>
    </row>
    <row r="125" spans="2:17">
      <c r="B125" s="319"/>
      <c r="C125" s="710">
        <f>IF(D96="","-",+C124+1)</f>
        <v>2036</v>
      </c>
      <c r="D125" s="663">
        <f t="shared" si="6"/>
        <v>665820.63581818237</v>
      </c>
      <c r="E125" s="717">
        <f t="shared" si="7"/>
        <v>20278.801090909092</v>
      </c>
      <c r="F125" s="717">
        <f t="shared" si="0"/>
        <v>645541.83472727332</v>
      </c>
      <c r="G125" s="663">
        <f t="shared" si="1"/>
        <v>655681.23527272791</v>
      </c>
      <c r="H125" s="711">
        <f>+J97*G125+E125</f>
        <v>84661.095168808577</v>
      </c>
      <c r="I125" s="718">
        <f>+J98*G125+E125</f>
        <v>84661.095168808577</v>
      </c>
      <c r="J125" s="714">
        <f t="shared" si="2"/>
        <v>0</v>
      </c>
      <c r="K125" s="714"/>
      <c r="L125" s="719"/>
      <c r="M125" s="714">
        <f t="shared" si="3"/>
        <v>0</v>
      </c>
      <c r="N125" s="719"/>
      <c r="O125" s="714">
        <f t="shared" si="4"/>
        <v>0</v>
      </c>
      <c r="P125" s="714">
        <f t="shared" si="5"/>
        <v>0</v>
      </c>
      <c r="Q125" s="664"/>
    </row>
    <row r="126" spans="2:17">
      <c r="B126" s="319"/>
      <c r="C126" s="710">
        <f>IF(D96="","-",+C125+1)</f>
        <v>2037</v>
      </c>
      <c r="D126" s="663">
        <f t="shared" si="6"/>
        <v>645541.83472727332</v>
      </c>
      <c r="E126" s="717">
        <f t="shared" si="7"/>
        <v>20278.801090909092</v>
      </c>
      <c r="F126" s="717">
        <f t="shared" si="0"/>
        <v>625263.03363636427</v>
      </c>
      <c r="G126" s="663">
        <f t="shared" si="1"/>
        <v>635402.43418181874</v>
      </c>
      <c r="H126" s="711">
        <f>+J97*G126+E126</f>
        <v>82669.890197327142</v>
      </c>
      <c r="I126" s="718">
        <f>+J98*G126+E126</f>
        <v>82669.890197327142</v>
      </c>
      <c r="J126" s="714">
        <f t="shared" si="2"/>
        <v>0</v>
      </c>
      <c r="K126" s="714"/>
      <c r="L126" s="719"/>
      <c r="M126" s="714">
        <f t="shared" si="3"/>
        <v>0</v>
      </c>
      <c r="N126" s="719"/>
      <c r="O126" s="714">
        <f t="shared" si="4"/>
        <v>0</v>
      </c>
      <c r="P126" s="714">
        <f t="shared" si="5"/>
        <v>0</v>
      </c>
      <c r="Q126" s="664"/>
    </row>
    <row r="127" spans="2:17">
      <c r="B127" s="319"/>
      <c r="C127" s="710">
        <f>IF(D96="","-",+C126+1)</f>
        <v>2038</v>
      </c>
      <c r="D127" s="663">
        <f t="shared" si="6"/>
        <v>625263.03363636427</v>
      </c>
      <c r="E127" s="717">
        <f t="shared" si="7"/>
        <v>20278.801090909092</v>
      </c>
      <c r="F127" s="717">
        <f t="shared" si="0"/>
        <v>604984.23254545522</v>
      </c>
      <c r="G127" s="663">
        <f t="shared" si="1"/>
        <v>615123.6330909098</v>
      </c>
      <c r="H127" s="711">
        <f>+J97*G127+E127</f>
        <v>80678.685225845737</v>
      </c>
      <c r="I127" s="718">
        <f>+J98*G127+E127</f>
        <v>80678.685225845737</v>
      </c>
      <c r="J127" s="714">
        <f t="shared" si="2"/>
        <v>0</v>
      </c>
      <c r="K127" s="714"/>
      <c r="L127" s="719"/>
      <c r="M127" s="714">
        <f t="shared" si="3"/>
        <v>0</v>
      </c>
      <c r="N127" s="719"/>
      <c r="O127" s="714">
        <f t="shared" si="4"/>
        <v>0</v>
      </c>
      <c r="P127" s="714">
        <f t="shared" si="5"/>
        <v>0</v>
      </c>
      <c r="Q127" s="664"/>
    </row>
    <row r="128" spans="2:17">
      <c r="B128" s="319"/>
      <c r="C128" s="710">
        <f>IF(D96="","-",+C127+1)</f>
        <v>2039</v>
      </c>
      <c r="D128" s="663">
        <f t="shared" si="6"/>
        <v>604984.23254545522</v>
      </c>
      <c r="E128" s="717">
        <f t="shared" si="7"/>
        <v>20278.801090909092</v>
      </c>
      <c r="F128" s="717">
        <f t="shared" si="0"/>
        <v>584705.43145454617</v>
      </c>
      <c r="G128" s="663">
        <f t="shared" si="1"/>
        <v>594844.83200000064</v>
      </c>
      <c r="H128" s="711">
        <f>+J97*G128+E128</f>
        <v>78687.480254364302</v>
      </c>
      <c r="I128" s="718">
        <f>+J98*G128+E128</f>
        <v>78687.480254364302</v>
      </c>
      <c r="J128" s="714">
        <f t="shared" si="2"/>
        <v>0</v>
      </c>
      <c r="K128" s="714"/>
      <c r="L128" s="719"/>
      <c r="M128" s="714">
        <f t="shared" si="3"/>
        <v>0</v>
      </c>
      <c r="N128" s="719"/>
      <c r="O128" s="714">
        <f t="shared" si="4"/>
        <v>0</v>
      </c>
      <c r="P128" s="714">
        <f t="shared" si="5"/>
        <v>0</v>
      </c>
      <c r="Q128" s="664"/>
    </row>
    <row r="129" spans="2:17">
      <c r="B129" s="319"/>
      <c r="C129" s="710">
        <f>IF(D96="","-",+C128+1)</f>
        <v>2040</v>
      </c>
      <c r="D129" s="663">
        <f t="shared" si="6"/>
        <v>584705.43145454617</v>
      </c>
      <c r="E129" s="717">
        <f t="shared" si="7"/>
        <v>20278.801090909092</v>
      </c>
      <c r="F129" s="717">
        <f t="shared" si="0"/>
        <v>564426.63036363712</v>
      </c>
      <c r="G129" s="663">
        <f t="shared" si="1"/>
        <v>574566.0309090917</v>
      </c>
      <c r="H129" s="711">
        <f>+J97*G129+E129</f>
        <v>76696.275282882896</v>
      </c>
      <c r="I129" s="718">
        <f>+J98*G129+E129</f>
        <v>76696.275282882896</v>
      </c>
      <c r="J129" s="714">
        <f t="shared" si="2"/>
        <v>0</v>
      </c>
      <c r="K129" s="714"/>
      <c r="L129" s="719"/>
      <c r="M129" s="714">
        <f t="shared" si="3"/>
        <v>0</v>
      </c>
      <c r="N129" s="719"/>
      <c r="O129" s="714">
        <f t="shared" si="4"/>
        <v>0</v>
      </c>
      <c r="P129" s="714">
        <f t="shared" si="5"/>
        <v>0</v>
      </c>
      <c r="Q129" s="664"/>
    </row>
    <row r="130" spans="2:17">
      <c r="B130" s="319"/>
      <c r="C130" s="710">
        <f>IF(D96="","-",+C129+1)</f>
        <v>2041</v>
      </c>
      <c r="D130" s="663">
        <f t="shared" si="6"/>
        <v>564426.63036363712</v>
      </c>
      <c r="E130" s="717">
        <f t="shared" si="7"/>
        <v>20278.801090909092</v>
      </c>
      <c r="F130" s="717">
        <f t="shared" si="0"/>
        <v>544147.82927272806</v>
      </c>
      <c r="G130" s="663">
        <f t="shared" si="1"/>
        <v>554287.22981818253</v>
      </c>
      <c r="H130" s="711">
        <f>+J97*G130+E130</f>
        <v>74705.070311401461</v>
      </c>
      <c r="I130" s="718">
        <f>+J98*G130+E130</f>
        <v>74705.070311401461</v>
      </c>
      <c r="J130" s="714">
        <f t="shared" si="2"/>
        <v>0</v>
      </c>
      <c r="K130" s="714"/>
      <c r="L130" s="719"/>
      <c r="M130" s="714">
        <f t="shared" si="3"/>
        <v>0</v>
      </c>
      <c r="N130" s="719"/>
      <c r="O130" s="714">
        <f t="shared" si="4"/>
        <v>0</v>
      </c>
      <c r="P130" s="714">
        <f t="shared" si="5"/>
        <v>0</v>
      </c>
      <c r="Q130" s="664"/>
    </row>
    <row r="131" spans="2:17">
      <c r="B131" s="319"/>
      <c r="C131" s="710">
        <f>IF(D96="","-",+C130+1)</f>
        <v>2042</v>
      </c>
      <c r="D131" s="663">
        <f t="shared" si="6"/>
        <v>544147.82927272806</v>
      </c>
      <c r="E131" s="717">
        <f t="shared" si="7"/>
        <v>20278.801090909092</v>
      </c>
      <c r="F131" s="717">
        <f t="shared" si="0"/>
        <v>523869.02818181895</v>
      </c>
      <c r="G131" s="663">
        <f t="shared" si="1"/>
        <v>534008.42872727348</v>
      </c>
      <c r="H131" s="711">
        <f>+J97*G131+E131</f>
        <v>72713.865339920041</v>
      </c>
      <c r="I131" s="718">
        <f>+J98*G131+E131</f>
        <v>72713.865339920041</v>
      </c>
      <c r="J131" s="714">
        <f t="shared" si="2"/>
        <v>0</v>
      </c>
      <c r="K131" s="714"/>
      <c r="L131" s="719"/>
      <c r="M131" s="714">
        <f t="shared" si="3"/>
        <v>0</v>
      </c>
      <c r="N131" s="719"/>
      <c r="O131" s="714">
        <f t="shared" si="4"/>
        <v>0</v>
      </c>
      <c r="P131" s="714">
        <f t="shared" si="5"/>
        <v>0</v>
      </c>
      <c r="Q131" s="664"/>
    </row>
    <row r="132" spans="2:17">
      <c r="B132" s="319"/>
      <c r="C132" s="710">
        <f>IF(D96="","-",+C131+1)</f>
        <v>2043</v>
      </c>
      <c r="D132" s="663">
        <f t="shared" si="6"/>
        <v>523869.02818181895</v>
      </c>
      <c r="E132" s="717">
        <f t="shared" si="7"/>
        <v>20278.801090909092</v>
      </c>
      <c r="F132" s="717">
        <f t="shared" si="0"/>
        <v>503590.22709090984</v>
      </c>
      <c r="G132" s="663">
        <f t="shared" si="1"/>
        <v>513729.62763636443</v>
      </c>
      <c r="H132" s="711">
        <f>+J97*G132+E132</f>
        <v>70722.660368438621</v>
      </c>
      <c r="I132" s="718">
        <f>+J98*G132+E132</f>
        <v>70722.660368438621</v>
      </c>
      <c r="J132" s="714">
        <f t="shared" si="2"/>
        <v>0</v>
      </c>
      <c r="K132" s="714"/>
      <c r="L132" s="719"/>
      <c r="M132" s="714">
        <f t="shared" si="3"/>
        <v>0</v>
      </c>
      <c r="N132" s="719"/>
      <c r="O132" s="714">
        <f t="shared" si="4"/>
        <v>0</v>
      </c>
      <c r="P132" s="714">
        <f t="shared" si="5"/>
        <v>0</v>
      </c>
      <c r="Q132" s="664"/>
    </row>
    <row r="133" spans="2:17">
      <c r="B133" s="319"/>
      <c r="C133" s="710">
        <f>IF(D96="","-",+C132+1)</f>
        <v>2044</v>
      </c>
      <c r="D133" s="663">
        <f t="shared" si="6"/>
        <v>503590.22709090984</v>
      </c>
      <c r="E133" s="717">
        <f t="shared" si="7"/>
        <v>20278.801090909092</v>
      </c>
      <c r="F133" s="717">
        <f t="shared" si="0"/>
        <v>483311.42600000073</v>
      </c>
      <c r="G133" s="663">
        <f t="shared" si="1"/>
        <v>493450.82654545526</v>
      </c>
      <c r="H133" s="711">
        <f>+J97*G133+E133</f>
        <v>68731.455396957186</v>
      </c>
      <c r="I133" s="718">
        <f>+J98*G133+E133</f>
        <v>68731.455396957186</v>
      </c>
      <c r="J133" s="714">
        <f t="shared" si="2"/>
        <v>0</v>
      </c>
      <c r="K133" s="714"/>
      <c r="L133" s="719"/>
      <c r="M133" s="714">
        <f t="shared" si="3"/>
        <v>0</v>
      </c>
      <c r="N133" s="719"/>
      <c r="O133" s="714">
        <f t="shared" si="4"/>
        <v>0</v>
      </c>
      <c r="P133" s="714">
        <f t="shared" si="5"/>
        <v>0</v>
      </c>
      <c r="Q133" s="664"/>
    </row>
    <row r="134" spans="2:17">
      <c r="B134" s="319"/>
      <c r="C134" s="710">
        <f>IF(D96="","-",+C133+1)</f>
        <v>2045</v>
      </c>
      <c r="D134" s="663">
        <f t="shared" si="6"/>
        <v>483311.42600000073</v>
      </c>
      <c r="E134" s="717">
        <f t="shared" si="7"/>
        <v>20278.801090909092</v>
      </c>
      <c r="F134" s="717">
        <f t="shared" ref="F134:F161" si="8">+D134-E134</f>
        <v>463032.62490909162</v>
      </c>
      <c r="G134" s="663">
        <f t="shared" ref="G134:G161" si="9">+(D134+F134)/2</f>
        <v>473172.02545454621</v>
      </c>
      <c r="H134" s="711">
        <f>+J97*G134+E134</f>
        <v>66740.250425475766</v>
      </c>
      <c r="I134" s="718">
        <f>+J98*G134+E134</f>
        <v>66740.250425475766</v>
      </c>
      <c r="J134" s="714">
        <f t="shared" ref="J134:J161" si="10">+I134-H134</f>
        <v>0</v>
      </c>
      <c r="K134" s="714"/>
      <c r="L134" s="719"/>
      <c r="M134" s="714">
        <f t="shared" ref="M134:M161" si="11">IF(L134&lt;&gt;0,+H134-L134,0)</f>
        <v>0</v>
      </c>
      <c r="N134" s="719"/>
      <c r="O134" s="714">
        <f t="shared" ref="O134:O161" si="12">IF(N134&lt;&gt;0,+I134-N134,0)</f>
        <v>0</v>
      </c>
      <c r="P134" s="714">
        <f t="shared" ref="P134:P161" si="13">+O134-M134</f>
        <v>0</v>
      </c>
      <c r="Q134" s="664"/>
    </row>
    <row r="135" spans="2:17">
      <c r="B135" s="319"/>
      <c r="C135" s="710">
        <f>IF(D96="","-",+C134+1)</f>
        <v>2046</v>
      </c>
      <c r="D135" s="663">
        <f t="shared" ref="D135:D161" si="14">F134</f>
        <v>463032.62490909162</v>
      </c>
      <c r="E135" s="717">
        <f t="shared" ref="E135:E161" si="15">IF(D135&gt;$J$99,$J$99,D135)</f>
        <v>20278.801090909092</v>
      </c>
      <c r="F135" s="717">
        <f t="shared" si="8"/>
        <v>442753.82381818251</v>
      </c>
      <c r="G135" s="663">
        <f t="shared" si="9"/>
        <v>452893.22436363704</v>
      </c>
      <c r="H135" s="711">
        <f>+J97*G135+E135</f>
        <v>64749.045453994331</v>
      </c>
      <c r="I135" s="718">
        <f>+J98*G135+E135</f>
        <v>64749.045453994331</v>
      </c>
      <c r="J135" s="714">
        <f t="shared" si="10"/>
        <v>0</v>
      </c>
      <c r="K135" s="714"/>
      <c r="L135" s="719"/>
      <c r="M135" s="714">
        <f t="shared" si="11"/>
        <v>0</v>
      </c>
      <c r="N135" s="719"/>
      <c r="O135" s="714">
        <f t="shared" si="12"/>
        <v>0</v>
      </c>
      <c r="P135" s="714">
        <f t="shared" si="13"/>
        <v>0</v>
      </c>
      <c r="Q135" s="664"/>
    </row>
    <row r="136" spans="2:17">
      <c r="B136" s="319"/>
      <c r="C136" s="710">
        <f>IF(D96="","-",+C135+1)</f>
        <v>2047</v>
      </c>
      <c r="D136" s="663">
        <f t="shared" si="14"/>
        <v>442753.82381818251</v>
      </c>
      <c r="E136" s="717">
        <f t="shared" si="15"/>
        <v>20278.801090909092</v>
      </c>
      <c r="F136" s="717">
        <f t="shared" si="8"/>
        <v>422475.0227272734</v>
      </c>
      <c r="G136" s="663">
        <f t="shared" si="9"/>
        <v>432614.42327272799</v>
      </c>
      <c r="H136" s="711">
        <f>+J97*G136+E136</f>
        <v>62757.840482512911</v>
      </c>
      <c r="I136" s="718">
        <f>+J98*G136+E136</f>
        <v>62757.840482512911</v>
      </c>
      <c r="J136" s="714">
        <f t="shared" si="10"/>
        <v>0</v>
      </c>
      <c r="K136" s="714"/>
      <c r="L136" s="719"/>
      <c r="M136" s="714">
        <f t="shared" si="11"/>
        <v>0</v>
      </c>
      <c r="N136" s="719"/>
      <c r="O136" s="714">
        <f t="shared" si="12"/>
        <v>0</v>
      </c>
      <c r="P136" s="714">
        <f t="shared" si="13"/>
        <v>0</v>
      </c>
      <c r="Q136" s="664"/>
    </row>
    <row r="137" spans="2:17">
      <c r="B137" s="319"/>
      <c r="C137" s="710">
        <f>IF(D96="","-",+C136+1)</f>
        <v>2048</v>
      </c>
      <c r="D137" s="663">
        <f t="shared" si="14"/>
        <v>422475.0227272734</v>
      </c>
      <c r="E137" s="717">
        <f t="shared" si="15"/>
        <v>20278.801090909092</v>
      </c>
      <c r="F137" s="717">
        <f t="shared" si="8"/>
        <v>402196.22163636429</v>
      </c>
      <c r="G137" s="663">
        <f t="shared" si="9"/>
        <v>412335.62218181882</v>
      </c>
      <c r="H137" s="711">
        <f>+J97*G137+E137</f>
        <v>60766.635511031476</v>
      </c>
      <c r="I137" s="718">
        <f>+J98*G137+E137</f>
        <v>60766.635511031476</v>
      </c>
      <c r="J137" s="714">
        <f t="shared" si="10"/>
        <v>0</v>
      </c>
      <c r="K137" s="714"/>
      <c r="L137" s="719"/>
      <c r="M137" s="714">
        <f t="shared" si="11"/>
        <v>0</v>
      </c>
      <c r="N137" s="719"/>
      <c r="O137" s="714">
        <f t="shared" si="12"/>
        <v>0</v>
      </c>
      <c r="P137" s="714">
        <f t="shared" si="13"/>
        <v>0</v>
      </c>
      <c r="Q137" s="664"/>
    </row>
    <row r="138" spans="2:17">
      <c r="B138" s="319"/>
      <c r="C138" s="710">
        <f>IF(D96="","-",+C137+1)</f>
        <v>2049</v>
      </c>
      <c r="D138" s="663">
        <f t="shared" si="14"/>
        <v>402196.22163636429</v>
      </c>
      <c r="E138" s="717">
        <f t="shared" si="15"/>
        <v>20278.801090909092</v>
      </c>
      <c r="F138" s="717">
        <f t="shared" si="8"/>
        <v>381917.42054545518</v>
      </c>
      <c r="G138" s="663">
        <f t="shared" si="9"/>
        <v>392056.82109090977</v>
      </c>
      <c r="H138" s="711">
        <f>+J97*G138+E138</f>
        <v>58775.430539550056</v>
      </c>
      <c r="I138" s="718">
        <f>+J98*G138+E138</f>
        <v>58775.430539550056</v>
      </c>
      <c r="J138" s="714">
        <f t="shared" si="10"/>
        <v>0</v>
      </c>
      <c r="K138" s="714"/>
      <c r="L138" s="719"/>
      <c r="M138" s="714">
        <f t="shared" si="11"/>
        <v>0</v>
      </c>
      <c r="N138" s="719"/>
      <c r="O138" s="714">
        <f t="shared" si="12"/>
        <v>0</v>
      </c>
      <c r="P138" s="714">
        <f t="shared" si="13"/>
        <v>0</v>
      </c>
      <c r="Q138" s="664"/>
    </row>
    <row r="139" spans="2:17">
      <c r="B139" s="319"/>
      <c r="C139" s="710">
        <f>IF(D96="","-",+C138+1)</f>
        <v>2050</v>
      </c>
      <c r="D139" s="663">
        <f t="shared" si="14"/>
        <v>381917.42054545518</v>
      </c>
      <c r="E139" s="717">
        <f t="shared" si="15"/>
        <v>20278.801090909092</v>
      </c>
      <c r="F139" s="717">
        <f t="shared" si="8"/>
        <v>361638.61945454607</v>
      </c>
      <c r="G139" s="663">
        <f t="shared" si="9"/>
        <v>371778.0200000006</v>
      </c>
      <c r="H139" s="711">
        <f>+J97*G139+E139</f>
        <v>56784.225568068621</v>
      </c>
      <c r="I139" s="718">
        <f>+J98*G139+E139</f>
        <v>56784.225568068621</v>
      </c>
      <c r="J139" s="714">
        <f t="shared" si="10"/>
        <v>0</v>
      </c>
      <c r="K139" s="714"/>
      <c r="L139" s="719"/>
      <c r="M139" s="714">
        <f t="shared" si="11"/>
        <v>0</v>
      </c>
      <c r="N139" s="719"/>
      <c r="O139" s="714">
        <f t="shared" si="12"/>
        <v>0</v>
      </c>
      <c r="P139" s="714">
        <f t="shared" si="13"/>
        <v>0</v>
      </c>
      <c r="Q139" s="664"/>
    </row>
    <row r="140" spans="2:17">
      <c r="B140" s="319"/>
      <c r="C140" s="710">
        <f>IF(D96="","-",+C139+1)</f>
        <v>2051</v>
      </c>
      <c r="D140" s="663">
        <f t="shared" si="14"/>
        <v>361638.61945454607</v>
      </c>
      <c r="E140" s="717">
        <f t="shared" si="15"/>
        <v>20278.801090909092</v>
      </c>
      <c r="F140" s="717">
        <f t="shared" si="8"/>
        <v>341359.81836363696</v>
      </c>
      <c r="G140" s="663">
        <f t="shared" si="9"/>
        <v>351499.21890909155</v>
      </c>
      <c r="H140" s="711">
        <f>+J97*G140+E140</f>
        <v>54793.020596587201</v>
      </c>
      <c r="I140" s="718">
        <f>+J98*G140+E140</f>
        <v>54793.020596587201</v>
      </c>
      <c r="J140" s="714">
        <f t="shared" si="10"/>
        <v>0</v>
      </c>
      <c r="K140" s="714"/>
      <c r="L140" s="719"/>
      <c r="M140" s="714">
        <f t="shared" si="11"/>
        <v>0</v>
      </c>
      <c r="N140" s="719"/>
      <c r="O140" s="714">
        <f t="shared" si="12"/>
        <v>0</v>
      </c>
      <c r="P140" s="714">
        <f t="shared" si="13"/>
        <v>0</v>
      </c>
      <c r="Q140" s="664"/>
    </row>
    <row r="141" spans="2:17">
      <c r="B141" s="319"/>
      <c r="C141" s="710">
        <f>IF(D96="","-",+C140+1)</f>
        <v>2052</v>
      </c>
      <c r="D141" s="663">
        <f t="shared" si="14"/>
        <v>341359.81836363696</v>
      </c>
      <c r="E141" s="717">
        <f t="shared" si="15"/>
        <v>20278.801090909092</v>
      </c>
      <c r="F141" s="717">
        <f t="shared" si="8"/>
        <v>321081.01727272786</v>
      </c>
      <c r="G141" s="663">
        <f t="shared" si="9"/>
        <v>331220.41781818238</v>
      </c>
      <c r="H141" s="711">
        <f>+J97*G141+E141</f>
        <v>52801.815625105766</v>
      </c>
      <c r="I141" s="718">
        <f>+J98*G141+E141</f>
        <v>52801.815625105766</v>
      </c>
      <c r="J141" s="714">
        <f t="shared" si="10"/>
        <v>0</v>
      </c>
      <c r="K141" s="714"/>
      <c r="L141" s="719"/>
      <c r="M141" s="714">
        <f t="shared" si="11"/>
        <v>0</v>
      </c>
      <c r="N141" s="719"/>
      <c r="O141" s="714">
        <f t="shared" si="12"/>
        <v>0</v>
      </c>
      <c r="P141" s="714">
        <f t="shared" si="13"/>
        <v>0</v>
      </c>
      <c r="Q141" s="664"/>
    </row>
    <row r="142" spans="2:17">
      <c r="B142" s="319"/>
      <c r="C142" s="710">
        <f>IF(D96="","-",+C141+1)</f>
        <v>2053</v>
      </c>
      <c r="D142" s="663">
        <f t="shared" si="14"/>
        <v>321081.01727272786</v>
      </c>
      <c r="E142" s="717">
        <f t="shared" si="15"/>
        <v>20278.801090909092</v>
      </c>
      <c r="F142" s="717">
        <f t="shared" si="8"/>
        <v>300802.21618181875</v>
      </c>
      <c r="G142" s="663">
        <f t="shared" si="9"/>
        <v>310941.61672727333</v>
      </c>
      <c r="H142" s="711">
        <f>+J97*G142+E142</f>
        <v>50810.610653624346</v>
      </c>
      <c r="I142" s="718">
        <f>+J98*G142+E142</f>
        <v>50810.610653624346</v>
      </c>
      <c r="J142" s="714">
        <f t="shared" si="10"/>
        <v>0</v>
      </c>
      <c r="K142" s="714"/>
      <c r="L142" s="719"/>
      <c r="M142" s="714">
        <f t="shared" si="11"/>
        <v>0</v>
      </c>
      <c r="N142" s="719"/>
      <c r="O142" s="714">
        <f t="shared" si="12"/>
        <v>0</v>
      </c>
      <c r="P142" s="714">
        <f t="shared" si="13"/>
        <v>0</v>
      </c>
      <c r="Q142" s="664"/>
    </row>
    <row r="143" spans="2:17">
      <c r="B143" s="319"/>
      <c r="C143" s="710">
        <f>IF(D96="","-",+C142+1)</f>
        <v>2054</v>
      </c>
      <c r="D143" s="663">
        <f t="shared" si="14"/>
        <v>300802.21618181875</v>
      </c>
      <c r="E143" s="717">
        <f t="shared" si="15"/>
        <v>20278.801090909092</v>
      </c>
      <c r="F143" s="717">
        <f t="shared" si="8"/>
        <v>280523.41509090964</v>
      </c>
      <c r="G143" s="663">
        <f t="shared" si="9"/>
        <v>290662.81563636416</v>
      </c>
      <c r="H143" s="711">
        <f>+J97*G143+E143</f>
        <v>48819.405682142911</v>
      </c>
      <c r="I143" s="718">
        <f>+J98*G143+E143</f>
        <v>48819.405682142911</v>
      </c>
      <c r="J143" s="714">
        <f t="shared" si="10"/>
        <v>0</v>
      </c>
      <c r="K143" s="714"/>
      <c r="L143" s="719"/>
      <c r="M143" s="714">
        <f t="shared" si="11"/>
        <v>0</v>
      </c>
      <c r="N143" s="719"/>
      <c r="O143" s="714">
        <f t="shared" si="12"/>
        <v>0</v>
      </c>
      <c r="P143" s="714">
        <f t="shared" si="13"/>
        <v>0</v>
      </c>
      <c r="Q143" s="664"/>
    </row>
    <row r="144" spans="2:17">
      <c r="B144" s="319"/>
      <c r="C144" s="710">
        <f>IF(D96="","-",+C143+1)</f>
        <v>2055</v>
      </c>
      <c r="D144" s="663">
        <f t="shared" si="14"/>
        <v>280523.41509090964</v>
      </c>
      <c r="E144" s="717">
        <f t="shared" si="15"/>
        <v>20278.801090909092</v>
      </c>
      <c r="F144" s="717">
        <f t="shared" si="8"/>
        <v>260244.61400000055</v>
      </c>
      <c r="G144" s="663">
        <f t="shared" si="9"/>
        <v>270384.01454545511</v>
      </c>
      <c r="H144" s="711">
        <f>+J97*G144+E144</f>
        <v>46828.200710661491</v>
      </c>
      <c r="I144" s="718">
        <f>+J98*G144+E144</f>
        <v>46828.200710661491</v>
      </c>
      <c r="J144" s="714">
        <f t="shared" si="10"/>
        <v>0</v>
      </c>
      <c r="K144" s="714"/>
      <c r="L144" s="719"/>
      <c r="M144" s="714">
        <f t="shared" si="11"/>
        <v>0</v>
      </c>
      <c r="N144" s="719"/>
      <c r="O144" s="714">
        <f t="shared" si="12"/>
        <v>0</v>
      </c>
      <c r="P144" s="714">
        <f t="shared" si="13"/>
        <v>0</v>
      </c>
      <c r="Q144" s="664"/>
    </row>
    <row r="145" spans="2:17">
      <c r="B145" s="319"/>
      <c r="C145" s="710">
        <f>IF(D96="","-",+C144+1)</f>
        <v>2056</v>
      </c>
      <c r="D145" s="663">
        <f t="shared" si="14"/>
        <v>260244.61400000055</v>
      </c>
      <c r="E145" s="717">
        <f t="shared" si="15"/>
        <v>20278.801090909092</v>
      </c>
      <c r="F145" s="717">
        <f t="shared" si="8"/>
        <v>239965.81290909147</v>
      </c>
      <c r="G145" s="663">
        <f t="shared" si="9"/>
        <v>250105.213454546</v>
      </c>
      <c r="H145" s="711">
        <f>+J97*G145+E145</f>
        <v>44836.995739180056</v>
      </c>
      <c r="I145" s="718">
        <f>+J98*G145+E145</f>
        <v>44836.995739180056</v>
      </c>
      <c r="J145" s="714">
        <f t="shared" si="10"/>
        <v>0</v>
      </c>
      <c r="K145" s="714"/>
      <c r="L145" s="719"/>
      <c r="M145" s="714">
        <f t="shared" si="11"/>
        <v>0</v>
      </c>
      <c r="N145" s="719"/>
      <c r="O145" s="714">
        <f t="shared" si="12"/>
        <v>0</v>
      </c>
      <c r="P145" s="714">
        <f t="shared" si="13"/>
        <v>0</v>
      </c>
      <c r="Q145" s="664"/>
    </row>
    <row r="146" spans="2:17">
      <c r="B146" s="319"/>
      <c r="C146" s="710">
        <f>IF(D96="","-",+C145+1)</f>
        <v>2057</v>
      </c>
      <c r="D146" s="663">
        <f t="shared" si="14"/>
        <v>239965.81290909147</v>
      </c>
      <c r="E146" s="717">
        <f t="shared" si="15"/>
        <v>20278.801090909092</v>
      </c>
      <c r="F146" s="717">
        <f t="shared" si="8"/>
        <v>219687.01181818239</v>
      </c>
      <c r="G146" s="663">
        <f t="shared" si="9"/>
        <v>229826.41236363695</v>
      </c>
      <c r="H146" s="711">
        <f>+J97*G146+E146</f>
        <v>42845.790767698636</v>
      </c>
      <c r="I146" s="718">
        <f>+J98*G146+E146</f>
        <v>42845.790767698636</v>
      </c>
      <c r="J146" s="714">
        <f t="shared" si="10"/>
        <v>0</v>
      </c>
      <c r="K146" s="714"/>
      <c r="L146" s="719"/>
      <c r="M146" s="714">
        <f t="shared" si="11"/>
        <v>0</v>
      </c>
      <c r="N146" s="719"/>
      <c r="O146" s="714">
        <f t="shared" si="12"/>
        <v>0</v>
      </c>
      <c r="P146" s="714">
        <f t="shared" si="13"/>
        <v>0</v>
      </c>
      <c r="Q146" s="664"/>
    </row>
    <row r="147" spans="2:17">
      <c r="B147" s="319"/>
      <c r="C147" s="710">
        <f>IF(D96="","-",+C146+1)</f>
        <v>2058</v>
      </c>
      <c r="D147" s="663">
        <f t="shared" si="14"/>
        <v>219687.01181818239</v>
      </c>
      <c r="E147" s="717">
        <f t="shared" si="15"/>
        <v>20278.801090909092</v>
      </c>
      <c r="F147" s="717">
        <f t="shared" si="8"/>
        <v>199408.21072727331</v>
      </c>
      <c r="G147" s="663">
        <f t="shared" si="9"/>
        <v>209547.61127272784</v>
      </c>
      <c r="H147" s="711">
        <f>+J97*G147+E147</f>
        <v>40854.585796217216</v>
      </c>
      <c r="I147" s="718">
        <f>+J98*G147+E147</f>
        <v>40854.585796217216</v>
      </c>
      <c r="J147" s="714">
        <f t="shared" si="10"/>
        <v>0</v>
      </c>
      <c r="K147" s="714"/>
      <c r="L147" s="719"/>
      <c r="M147" s="714">
        <f t="shared" si="11"/>
        <v>0</v>
      </c>
      <c r="N147" s="719"/>
      <c r="O147" s="714">
        <f t="shared" si="12"/>
        <v>0</v>
      </c>
      <c r="P147" s="714">
        <f t="shared" si="13"/>
        <v>0</v>
      </c>
      <c r="Q147" s="664"/>
    </row>
    <row r="148" spans="2:17">
      <c r="B148" s="319"/>
      <c r="C148" s="710">
        <f>IF(D96="","-",+C147+1)</f>
        <v>2059</v>
      </c>
      <c r="D148" s="663">
        <f t="shared" si="14"/>
        <v>199408.21072727331</v>
      </c>
      <c r="E148" s="717">
        <f t="shared" si="15"/>
        <v>20278.801090909092</v>
      </c>
      <c r="F148" s="717">
        <f t="shared" si="8"/>
        <v>179129.40963636423</v>
      </c>
      <c r="G148" s="663">
        <f t="shared" si="9"/>
        <v>189268.81018181879</v>
      </c>
      <c r="H148" s="711">
        <f>+J97*G148+E148</f>
        <v>38863.380824735788</v>
      </c>
      <c r="I148" s="718">
        <f>+J98*G148+E148</f>
        <v>38863.380824735788</v>
      </c>
      <c r="J148" s="714">
        <f t="shared" si="10"/>
        <v>0</v>
      </c>
      <c r="K148" s="714"/>
      <c r="L148" s="719"/>
      <c r="M148" s="714">
        <f t="shared" si="11"/>
        <v>0</v>
      </c>
      <c r="N148" s="719"/>
      <c r="O148" s="714">
        <f t="shared" si="12"/>
        <v>0</v>
      </c>
      <c r="P148" s="714">
        <f t="shared" si="13"/>
        <v>0</v>
      </c>
      <c r="Q148" s="664"/>
    </row>
    <row r="149" spans="2:17">
      <c r="B149" s="319"/>
      <c r="C149" s="710">
        <f>IF(D96="","-",+C148+1)</f>
        <v>2060</v>
      </c>
      <c r="D149" s="663">
        <f t="shared" si="14"/>
        <v>179129.40963636423</v>
      </c>
      <c r="E149" s="717">
        <f t="shared" si="15"/>
        <v>20278.801090909092</v>
      </c>
      <c r="F149" s="717">
        <f t="shared" si="8"/>
        <v>158850.60854545515</v>
      </c>
      <c r="G149" s="663">
        <f t="shared" si="9"/>
        <v>168990.00909090968</v>
      </c>
      <c r="H149" s="711">
        <f>+J97*G149+E149</f>
        <v>36872.175853254361</v>
      </c>
      <c r="I149" s="718">
        <f>+J98*G149+E149</f>
        <v>36872.175853254361</v>
      </c>
      <c r="J149" s="714">
        <f t="shared" si="10"/>
        <v>0</v>
      </c>
      <c r="K149" s="714"/>
      <c r="L149" s="719"/>
      <c r="M149" s="714">
        <f t="shared" si="11"/>
        <v>0</v>
      </c>
      <c r="N149" s="719"/>
      <c r="O149" s="714">
        <f t="shared" si="12"/>
        <v>0</v>
      </c>
      <c r="P149" s="714">
        <f t="shared" si="13"/>
        <v>0</v>
      </c>
      <c r="Q149" s="664"/>
    </row>
    <row r="150" spans="2:17">
      <c r="B150" s="319"/>
      <c r="C150" s="710">
        <f>IF(D96="","-",+C149+1)</f>
        <v>2061</v>
      </c>
      <c r="D150" s="663">
        <f t="shared" si="14"/>
        <v>158850.60854545515</v>
      </c>
      <c r="E150" s="717">
        <f t="shared" si="15"/>
        <v>20278.801090909092</v>
      </c>
      <c r="F150" s="717">
        <f t="shared" si="8"/>
        <v>138571.80745454607</v>
      </c>
      <c r="G150" s="663">
        <f t="shared" si="9"/>
        <v>148711.20800000062</v>
      </c>
      <c r="H150" s="711">
        <f>+J97*G150+E150</f>
        <v>34880.970881772941</v>
      </c>
      <c r="I150" s="718">
        <f>+J98*G150+E150</f>
        <v>34880.970881772941</v>
      </c>
      <c r="J150" s="714">
        <f t="shared" si="10"/>
        <v>0</v>
      </c>
      <c r="K150" s="714"/>
      <c r="L150" s="719"/>
      <c r="M150" s="714">
        <f t="shared" si="11"/>
        <v>0</v>
      </c>
      <c r="N150" s="719"/>
      <c r="O150" s="714">
        <f t="shared" si="12"/>
        <v>0</v>
      </c>
      <c r="P150" s="714">
        <f t="shared" si="13"/>
        <v>0</v>
      </c>
      <c r="Q150" s="664"/>
    </row>
    <row r="151" spans="2:17">
      <c r="B151" s="319"/>
      <c r="C151" s="710">
        <f>IF(D96="","-",+C150+1)</f>
        <v>2062</v>
      </c>
      <c r="D151" s="663">
        <f t="shared" si="14"/>
        <v>138571.80745454607</v>
      </c>
      <c r="E151" s="717">
        <f t="shared" si="15"/>
        <v>20278.801090909092</v>
      </c>
      <c r="F151" s="717">
        <f t="shared" si="8"/>
        <v>118293.00636363697</v>
      </c>
      <c r="G151" s="663">
        <f t="shared" si="9"/>
        <v>128432.40690909151</v>
      </c>
      <c r="H151" s="711">
        <f>+J97*G151+E151</f>
        <v>32889.765910291513</v>
      </c>
      <c r="I151" s="718">
        <f>+J98*G151+E151</f>
        <v>32889.765910291513</v>
      </c>
      <c r="J151" s="714">
        <f t="shared" si="10"/>
        <v>0</v>
      </c>
      <c r="K151" s="714"/>
      <c r="L151" s="719"/>
      <c r="M151" s="714">
        <f t="shared" si="11"/>
        <v>0</v>
      </c>
      <c r="N151" s="719"/>
      <c r="O151" s="714">
        <f t="shared" si="12"/>
        <v>0</v>
      </c>
      <c r="P151" s="714">
        <f t="shared" si="13"/>
        <v>0</v>
      </c>
      <c r="Q151" s="664"/>
    </row>
    <row r="152" spans="2:17">
      <c r="B152" s="319"/>
      <c r="C152" s="710">
        <f>IF(D96="","-",+C151+1)</f>
        <v>2063</v>
      </c>
      <c r="D152" s="663">
        <f t="shared" si="14"/>
        <v>118293.00636363697</v>
      </c>
      <c r="E152" s="717">
        <f t="shared" si="15"/>
        <v>20278.801090909092</v>
      </c>
      <c r="F152" s="717">
        <f t="shared" si="8"/>
        <v>98014.205272727879</v>
      </c>
      <c r="G152" s="663">
        <f t="shared" si="9"/>
        <v>108153.60581818243</v>
      </c>
      <c r="H152" s="711">
        <f>+J97*G152+E152</f>
        <v>30898.560938810089</v>
      </c>
      <c r="I152" s="718">
        <f>+J98*G152+E152</f>
        <v>30898.560938810089</v>
      </c>
      <c r="J152" s="714">
        <f t="shared" si="10"/>
        <v>0</v>
      </c>
      <c r="K152" s="714"/>
      <c r="L152" s="719"/>
      <c r="M152" s="714">
        <f t="shared" si="11"/>
        <v>0</v>
      </c>
      <c r="N152" s="719"/>
      <c r="O152" s="714">
        <f t="shared" si="12"/>
        <v>0</v>
      </c>
      <c r="P152" s="714">
        <f t="shared" si="13"/>
        <v>0</v>
      </c>
      <c r="Q152" s="664"/>
    </row>
    <row r="153" spans="2:17">
      <c r="B153" s="319"/>
      <c r="C153" s="710">
        <f>IF(D96="","-",+C152+1)</f>
        <v>2064</v>
      </c>
      <c r="D153" s="663">
        <f t="shared" si="14"/>
        <v>98014.205272727879</v>
      </c>
      <c r="E153" s="717">
        <f t="shared" si="15"/>
        <v>20278.801090909092</v>
      </c>
      <c r="F153" s="717">
        <f t="shared" si="8"/>
        <v>77735.404181818783</v>
      </c>
      <c r="G153" s="663">
        <f t="shared" si="9"/>
        <v>87874.804727273324</v>
      </c>
      <c r="H153" s="711">
        <f>+J97*G153+E153</f>
        <v>28907.355967328662</v>
      </c>
      <c r="I153" s="718">
        <f>+J98*G153+E153</f>
        <v>28907.355967328662</v>
      </c>
      <c r="J153" s="714">
        <f t="shared" si="10"/>
        <v>0</v>
      </c>
      <c r="K153" s="714"/>
      <c r="L153" s="719"/>
      <c r="M153" s="714">
        <f t="shared" si="11"/>
        <v>0</v>
      </c>
      <c r="N153" s="719"/>
      <c r="O153" s="714">
        <f t="shared" si="12"/>
        <v>0</v>
      </c>
      <c r="P153" s="714">
        <f t="shared" si="13"/>
        <v>0</v>
      </c>
      <c r="Q153" s="664"/>
    </row>
    <row r="154" spans="2:17">
      <c r="B154" s="319"/>
      <c r="C154" s="710">
        <f>IF(D96="","-",+C153+1)</f>
        <v>2065</v>
      </c>
      <c r="D154" s="663">
        <f t="shared" si="14"/>
        <v>77735.404181818783</v>
      </c>
      <c r="E154" s="717">
        <f t="shared" si="15"/>
        <v>20278.801090909092</v>
      </c>
      <c r="F154" s="717">
        <f t="shared" si="8"/>
        <v>57456.603090909688</v>
      </c>
      <c r="G154" s="663">
        <f t="shared" si="9"/>
        <v>67596.003636364243</v>
      </c>
      <c r="H154" s="711">
        <f>+J97*G154+E154</f>
        <v>26916.150995847238</v>
      </c>
      <c r="I154" s="718">
        <f>+J98*G154+E154</f>
        <v>26916.150995847238</v>
      </c>
      <c r="J154" s="714">
        <f t="shared" si="10"/>
        <v>0</v>
      </c>
      <c r="K154" s="714"/>
      <c r="L154" s="719"/>
      <c r="M154" s="714">
        <f t="shared" si="11"/>
        <v>0</v>
      </c>
      <c r="N154" s="719"/>
      <c r="O154" s="714">
        <f t="shared" si="12"/>
        <v>0</v>
      </c>
      <c r="P154" s="714">
        <f t="shared" si="13"/>
        <v>0</v>
      </c>
      <c r="Q154" s="664"/>
    </row>
    <row r="155" spans="2:17">
      <c r="B155" s="319"/>
      <c r="C155" s="710">
        <f>IF(D96="","-",+C154+1)</f>
        <v>2066</v>
      </c>
      <c r="D155" s="663">
        <f t="shared" si="14"/>
        <v>57456.603090909688</v>
      </c>
      <c r="E155" s="717">
        <f t="shared" si="15"/>
        <v>20278.801090909092</v>
      </c>
      <c r="F155" s="717">
        <f t="shared" si="8"/>
        <v>37177.802000000593</v>
      </c>
      <c r="G155" s="663">
        <f t="shared" si="9"/>
        <v>47317.20254545514</v>
      </c>
      <c r="H155" s="711">
        <f>+J97*G155+E155</f>
        <v>24924.94602436581</v>
      </c>
      <c r="I155" s="718">
        <f>+J98*G155+E155</f>
        <v>24924.94602436581</v>
      </c>
      <c r="J155" s="714">
        <f t="shared" si="10"/>
        <v>0</v>
      </c>
      <c r="K155" s="714"/>
      <c r="L155" s="719"/>
      <c r="M155" s="714">
        <f t="shared" si="11"/>
        <v>0</v>
      </c>
      <c r="N155" s="719"/>
      <c r="O155" s="714">
        <f t="shared" si="12"/>
        <v>0</v>
      </c>
      <c r="P155" s="714">
        <f t="shared" si="13"/>
        <v>0</v>
      </c>
      <c r="Q155" s="664"/>
    </row>
    <row r="156" spans="2:17">
      <c r="B156" s="319"/>
      <c r="C156" s="710">
        <f>IF(D96="","-",+C155+1)</f>
        <v>2067</v>
      </c>
      <c r="D156" s="663">
        <f t="shared" si="14"/>
        <v>37177.802000000593</v>
      </c>
      <c r="E156" s="717">
        <f t="shared" si="15"/>
        <v>20278.801090909092</v>
      </c>
      <c r="F156" s="717">
        <f t="shared" si="8"/>
        <v>16899.000909091501</v>
      </c>
      <c r="G156" s="663">
        <f t="shared" si="9"/>
        <v>27038.401454546045</v>
      </c>
      <c r="H156" s="711">
        <f>+J97*G156+E156</f>
        <v>22933.741052884383</v>
      </c>
      <c r="I156" s="718">
        <f>+J98*G156+E156</f>
        <v>22933.741052884383</v>
      </c>
      <c r="J156" s="714">
        <f t="shared" si="10"/>
        <v>0</v>
      </c>
      <c r="K156" s="714"/>
      <c r="L156" s="719"/>
      <c r="M156" s="714">
        <f t="shared" si="11"/>
        <v>0</v>
      </c>
      <c r="N156" s="719"/>
      <c r="O156" s="714">
        <f t="shared" si="12"/>
        <v>0</v>
      </c>
      <c r="P156" s="714">
        <f t="shared" si="13"/>
        <v>0</v>
      </c>
      <c r="Q156" s="664"/>
    </row>
    <row r="157" spans="2:17">
      <c r="B157" s="319"/>
      <c r="C157" s="710">
        <f>IF(D96="","-",+C156+1)</f>
        <v>2068</v>
      </c>
      <c r="D157" s="663">
        <f t="shared" si="14"/>
        <v>16899.000909091501</v>
      </c>
      <c r="E157" s="717">
        <f t="shared" si="15"/>
        <v>16899.000909091501</v>
      </c>
      <c r="F157" s="717">
        <f t="shared" si="8"/>
        <v>0</v>
      </c>
      <c r="G157" s="663">
        <f t="shared" si="9"/>
        <v>8449.5004545457505</v>
      </c>
      <c r="H157" s="711">
        <f>+J97*G157+E157</f>
        <v>17728.66964720879</v>
      </c>
      <c r="I157" s="718">
        <f>+J98*G157+E157</f>
        <v>17728.66964720879</v>
      </c>
      <c r="J157" s="714">
        <f t="shared" si="10"/>
        <v>0</v>
      </c>
      <c r="K157" s="714"/>
      <c r="L157" s="719"/>
      <c r="M157" s="714">
        <f t="shared" si="11"/>
        <v>0</v>
      </c>
      <c r="N157" s="719"/>
      <c r="O157" s="714">
        <f t="shared" si="12"/>
        <v>0</v>
      </c>
      <c r="P157" s="714">
        <f t="shared" si="13"/>
        <v>0</v>
      </c>
      <c r="Q157" s="664"/>
    </row>
    <row r="158" spans="2:17">
      <c r="B158" s="319"/>
      <c r="C158" s="710">
        <f>IF(D96="","-",+C157+1)</f>
        <v>2069</v>
      </c>
      <c r="D158" s="663">
        <f t="shared" si="14"/>
        <v>0</v>
      </c>
      <c r="E158" s="717">
        <f t="shared" si="15"/>
        <v>0</v>
      </c>
      <c r="F158" s="717">
        <f t="shared" si="8"/>
        <v>0</v>
      </c>
      <c r="G158" s="663">
        <f t="shared" si="9"/>
        <v>0</v>
      </c>
      <c r="H158" s="711">
        <f>+J97*G158+E158</f>
        <v>0</v>
      </c>
      <c r="I158" s="718">
        <f>+J98*G158+E158</f>
        <v>0</v>
      </c>
      <c r="J158" s="714">
        <f t="shared" si="10"/>
        <v>0</v>
      </c>
      <c r="K158" s="714"/>
      <c r="L158" s="719"/>
      <c r="M158" s="714">
        <f t="shared" si="11"/>
        <v>0</v>
      </c>
      <c r="N158" s="719"/>
      <c r="O158" s="714">
        <f t="shared" si="12"/>
        <v>0</v>
      </c>
      <c r="P158" s="714">
        <f t="shared" si="13"/>
        <v>0</v>
      </c>
      <c r="Q158" s="664"/>
    </row>
    <row r="159" spans="2:17">
      <c r="B159" s="319"/>
      <c r="C159" s="710">
        <f>IF(D96="","-",+C158+1)</f>
        <v>2070</v>
      </c>
      <c r="D159" s="663">
        <f t="shared" si="14"/>
        <v>0</v>
      </c>
      <c r="E159" s="717">
        <f t="shared" si="15"/>
        <v>0</v>
      </c>
      <c r="F159" s="717">
        <f t="shared" si="8"/>
        <v>0</v>
      </c>
      <c r="G159" s="663">
        <f t="shared" si="9"/>
        <v>0</v>
      </c>
      <c r="H159" s="711">
        <f>+J97*G159+E159</f>
        <v>0</v>
      </c>
      <c r="I159" s="718">
        <f>+J98*G159+E159</f>
        <v>0</v>
      </c>
      <c r="J159" s="714">
        <f t="shared" si="10"/>
        <v>0</v>
      </c>
      <c r="K159" s="714"/>
      <c r="L159" s="719"/>
      <c r="M159" s="714">
        <f t="shared" si="11"/>
        <v>0</v>
      </c>
      <c r="N159" s="719"/>
      <c r="O159" s="714">
        <f t="shared" si="12"/>
        <v>0</v>
      </c>
      <c r="P159" s="714">
        <f t="shared" si="13"/>
        <v>0</v>
      </c>
      <c r="Q159" s="664"/>
    </row>
    <row r="160" spans="2:17">
      <c r="B160" s="319"/>
      <c r="C160" s="710">
        <f>IF(D96="","-",+C159+1)</f>
        <v>2071</v>
      </c>
      <c r="D160" s="663">
        <f t="shared" si="14"/>
        <v>0</v>
      </c>
      <c r="E160" s="717">
        <f t="shared" si="15"/>
        <v>0</v>
      </c>
      <c r="F160" s="717">
        <f t="shared" si="8"/>
        <v>0</v>
      </c>
      <c r="G160" s="663">
        <f t="shared" si="9"/>
        <v>0</v>
      </c>
      <c r="H160" s="711">
        <f>+J97*G160+E160</f>
        <v>0</v>
      </c>
      <c r="I160" s="718">
        <f>+J98*G160+E160</f>
        <v>0</v>
      </c>
      <c r="J160" s="714">
        <f t="shared" si="10"/>
        <v>0</v>
      </c>
      <c r="K160" s="714"/>
      <c r="L160" s="719"/>
      <c r="M160" s="714">
        <f t="shared" si="11"/>
        <v>0</v>
      </c>
      <c r="N160" s="719"/>
      <c r="O160" s="714">
        <f t="shared" si="12"/>
        <v>0</v>
      </c>
      <c r="P160" s="714">
        <f t="shared" si="13"/>
        <v>0</v>
      </c>
      <c r="Q160" s="664"/>
    </row>
    <row r="161" spans="2:17" ht="13.5" thickBot="1">
      <c r="B161" s="319"/>
      <c r="C161" s="721">
        <f>IF(D96="","-",+C160+1)</f>
        <v>2072</v>
      </c>
      <c r="D161" s="722">
        <f t="shared" si="14"/>
        <v>0</v>
      </c>
      <c r="E161" s="723">
        <f t="shared" si="15"/>
        <v>0</v>
      </c>
      <c r="F161" s="723">
        <f t="shared" si="8"/>
        <v>0</v>
      </c>
      <c r="G161" s="722">
        <f t="shared" si="9"/>
        <v>0</v>
      </c>
      <c r="H161" s="724">
        <f>+J97*G161+E161</f>
        <v>0</v>
      </c>
      <c r="I161" s="724">
        <f>+J98*G161+E161</f>
        <v>0</v>
      </c>
      <c r="J161" s="725">
        <f t="shared" si="10"/>
        <v>0</v>
      </c>
      <c r="K161" s="714"/>
      <c r="L161" s="726"/>
      <c r="M161" s="725">
        <f t="shared" si="11"/>
        <v>0</v>
      </c>
      <c r="N161" s="726"/>
      <c r="O161" s="725">
        <f t="shared" si="12"/>
        <v>0</v>
      </c>
      <c r="P161" s="725">
        <f t="shared" si="13"/>
        <v>0</v>
      </c>
      <c r="Q161" s="664"/>
    </row>
    <row r="162" spans="2:17">
      <c r="B162" s="319"/>
      <c r="C162" s="663" t="s">
        <v>288</v>
      </c>
      <c r="D162" s="659"/>
      <c r="E162" s="659">
        <f>SUM(E102:E161)</f>
        <v>1115334.0599999998</v>
      </c>
      <c r="F162" s="659"/>
      <c r="G162" s="659"/>
      <c r="H162" s="659">
        <f>SUM(H102:H161)</f>
        <v>4218295.1405585594</v>
      </c>
      <c r="I162" s="659">
        <f>SUM(I102:I161)</f>
        <v>4218295.1405585594</v>
      </c>
      <c r="J162" s="659">
        <f>SUM(J102:J161)</f>
        <v>0</v>
      </c>
      <c r="K162" s="659"/>
      <c r="L162" s="659"/>
      <c r="M162" s="659"/>
      <c r="N162" s="659"/>
      <c r="O162" s="659"/>
      <c r="Q162" s="659"/>
    </row>
    <row r="163" spans="2:17">
      <c r="B163" s="319"/>
      <c r="D163" s="553"/>
      <c r="E163" s="532"/>
      <c r="F163" s="532"/>
      <c r="G163" s="532"/>
      <c r="H163" s="532"/>
      <c r="I163" s="636"/>
      <c r="J163" s="636"/>
      <c r="K163" s="659"/>
      <c r="L163" s="636"/>
      <c r="M163" s="636"/>
      <c r="N163" s="636"/>
      <c r="O163" s="636"/>
      <c r="Q163" s="659"/>
    </row>
    <row r="164" spans="2:17">
      <c r="B164" s="319"/>
      <c r="C164" s="532" t="s">
        <v>595</v>
      </c>
      <c r="D164" s="553"/>
      <c r="E164" s="532"/>
      <c r="F164" s="532"/>
      <c r="G164" s="532"/>
      <c r="H164" s="532"/>
      <c r="I164" s="636"/>
      <c r="J164" s="636"/>
      <c r="K164" s="659"/>
      <c r="L164" s="636"/>
      <c r="M164" s="636"/>
      <c r="N164" s="636"/>
      <c r="O164" s="636"/>
      <c r="Q164" s="659"/>
    </row>
    <row r="165" spans="2:17">
      <c r="B165" s="319"/>
      <c r="D165" s="553"/>
      <c r="E165" s="532"/>
      <c r="F165" s="532"/>
      <c r="G165" s="532"/>
      <c r="H165" s="532"/>
      <c r="I165" s="636"/>
      <c r="J165" s="636"/>
      <c r="K165" s="659"/>
      <c r="L165" s="636"/>
      <c r="M165" s="636"/>
      <c r="N165" s="636"/>
      <c r="O165" s="636"/>
      <c r="Q165" s="659"/>
    </row>
    <row r="166" spans="2:17">
      <c r="B166" s="319"/>
      <c r="C166" s="566" t="s">
        <v>596</v>
      </c>
      <c r="D166" s="663"/>
      <c r="E166" s="663"/>
      <c r="F166" s="663"/>
      <c r="G166" s="663"/>
      <c r="H166" s="659"/>
      <c r="I166" s="659"/>
      <c r="J166" s="664"/>
      <c r="K166" s="664"/>
      <c r="L166" s="664"/>
      <c r="M166" s="664"/>
      <c r="N166" s="664"/>
      <c r="O166" s="664"/>
      <c r="Q166" s="664"/>
    </row>
    <row r="167" spans="2:17">
      <c r="B167" s="319"/>
      <c r="C167" s="566" t="s">
        <v>475</v>
      </c>
      <c r="D167" s="663"/>
      <c r="E167" s="663"/>
      <c r="F167" s="663"/>
      <c r="G167" s="663"/>
      <c r="H167" s="659"/>
      <c r="I167" s="659"/>
      <c r="J167" s="664"/>
      <c r="K167" s="664"/>
      <c r="L167" s="664"/>
      <c r="M167" s="664"/>
      <c r="N167" s="664"/>
      <c r="O167" s="664"/>
      <c r="Q167" s="664"/>
    </row>
    <row r="168" spans="2:17">
      <c r="B168" s="319"/>
      <c r="C168" s="566" t="s">
        <v>289</v>
      </c>
      <c r="D168" s="663"/>
      <c r="E168" s="663"/>
      <c r="F168" s="663"/>
      <c r="G168" s="663"/>
      <c r="H168" s="659"/>
      <c r="I168" s="659"/>
      <c r="J168" s="664"/>
      <c r="K168" s="664"/>
      <c r="L168" s="664"/>
      <c r="M168" s="664"/>
      <c r="N168" s="664"/>
      <c r="O168" s="664"/>
      <c r="Q168" s="664"/>
    </row>
    <row r="169" spans="2:17">
      <c r="B169" s="319"/>
      <c r="Q169" s="319"/>
    </row>
  </sheetData>
  <mergeCells count="9">
    <mergeCell ref="C60:D61"/>
    <mergeCell ref="C71:D72"/>
    <mergeCell ref="L95:O95"/>
    <mergeCell ref="A3:P3"/>
    <mergeCell ref="C11:I12"/>
    <mergeCell ref="A4:P4"/>
    <mergeCell ref="A5:P5"/>
    <mergeCell ref="A6:P6"/>
    <mergeCell ref="C51:D52"/>
  </mergeCells>
  <phoneticPr fontId="0" type="noConversion"/>
  <conditionalFormatting sqref="C102:C161">
    <cfRule type="cellIs" dxfId="24" priority="11" stopIfTrue="1" operator="equal">
      <formula>$J$92</formula>
    </cfRule>
  </conditionalFormatting>
  <pageMargins left="0.26" right="1.28" top="1" bottom="0.48" header="0.75" footer="0.5"/>
  <pageSetup scale="43" fitToHeight="2" orientation="landscape" r:id="rId1"/>
  <headerFooter alignWithMargins="0">
    <oddHeader>&amp;R&amp;"Arial,Bold"Formula Rate 
&amp;A
Page &amp;P of &amp;N</oddHeader>
  </headerFooter>
  <rowBreaks count="1" manualBreakCount="1">
    <brk id="81" max="15"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pageSetUpPr fitToPage="1"/>
  </sheetPr>
  <dimension ref="A1:AD47"/>
  <sheetViews>
    <sheetView view="pageBreakPreview" zoomScaleNormal="100" zoomScaleSheetLayoutView="100" workbookViewId="0">
      <selection activeCell="A3" sqref="A3"/>
    </sheetView>
  </sheetViews>
  <sheetFormatPr defaultColWidth="9.140625" defaultRowHeight="12.75"/>
  <cols>
    <col min="1" max="1" width="9.140625" style="29"/>
    <col min="2" max="2" width="37.5703125" style="169" customWidth="1"/>
    <col min="3" max="3" width="31.5703125" style="166" customWidth="1"/>
    <col min="4" max="4" width="14.85546875" style="166" customWidth="1"/>
    <col min="5" max="5" width="18" style="166" customWidth="1"/>
    <col min="6" max="7" width="11.140625" style="166" bestFit="1" customWidth="1"/>
    <col min="8" max="8" width="11.140625" style="238" bestFit="1" customWidth="1"/>
    <col min="9" max="16384" width="9.140625" style="166"/>
  </cols>
  <sheetData>
    <row r="1" spans="1:30" ht="15.75">
      <c r="A1" s="881" t="s">
        <v>114</v>
      </c>
    </row>
    <row r="2" spans="1:30" ht="15.75">
      <c r="A2" s="881" t="s">
        <v>114</v>
      </c>
    </row>
    <row r="3" spans="1:30" ht="15">
      <c r="A3" s="29" t="s">
        <v>114</v>
      </c>
      <c r="B3" s="1553" t="s">
        <v>387</v>
      </c>
      <c r="C3" s="1553"/>
      <c r="D3" s="1553"/>
      <c r="E3" s="1553"/>
      <c r="F3" s="1553"/>
      <c r="G3" s="37"/>
      <c r="H3" s="234"/>
      <c r="I3" s="37"/>
      <c r="J3" s="37"/>
      <c r="K3" s="37"/>
      <c r="L3" s="37"/>
      <c r="M3" s="37"/>
      <c r="N3" s="37"/>
      <c r="O3" s="37"/>
      <c r="P3" s="37"/>
    </row>
    <row r="4" spans="1:30" ht="15">
      <c r="B4" s="1554" t="str">
        <f>"Cost of Service Formula Rate Using "&amp;TCOS!L4&amp;" FF1 Balances"</f>
        <v>Cost of Service Formula Rate Using 2022 FF1 Balances</v>
      </c>
      <c r="C4" s="1554"/>
      <c r="D4" s="1554"/>
      <c r="E4" s="1554"/>
      <c r="F4" s="1554"/>
      <c r="G4" s="92"/>
      <c r="H4" s="235"/>
      <c r="I4" s="92"/>
      <c r="J4" s="92"/>
      <c r="K4" s="92"/>
      <c r="L4" s="92"/>
      <c r="M4" s="92"/>
      <c r="N4" s="92"/>
      <c r="O4" s="92"/>
      <c r="P4" s="92"/>
    </row>
    <row r="5" spans="1:30" ht="18">
      <c r="B5" s="1553" t="s">
        <v>546</v>
      </c>
      <c r="C5" s="1553"/>
      <c r="D5" s="1553"/>
      <c r="E5" s="1553"/>
      <c r="F5" s="1553"/>
      <c r="G5" s="146"/>
      <c r="H5" s="236"/>
      <c r="I5" s="146"/>
      <c r="J5" s="146"/>
      <c r="K5" s="146"/>
    </row>
    <row r="6" spans="1:30" ht="18">
      <c r="B6" s="1565" t="str">
        <f>+TCOS!F9</f>
        <v>WHEELING POWER COMPANY</v>
      </c>
      <c r="C6" s="1553"/>
      <c r="D6" s="1553"/>
      <c r="E6" s="1553"/>
      <c r="F6" s="1553"/>
      <c r="G6" s="156"/>
      <c r="H6" s="237"/>
      <c r="I6" s="156"/>
      <c r="J6" s="156"/>
      <c r="K6" s="156"/>
    </row>
    <row r="8" spans="1:30" ht="18.75" customHeight="1">
      <c r="B8" s="18"/>
      <c r="C8" s="135"/>
      <c r="D8" s="168"/>
    </row>
    <row r="10" spans="1:30" ht="18">
      <c r="B10" s="7"/>
      <c r="C10" s="7"/>
      <c r="D10" s="7"/>
      <c r="E10" s="7"/>
      <c r="F10" s="7"/>
      <c r="R10" s="145"/>
      <c r="S10" s="145"/>
      <c r="T10" s="145"/>
      <c r="U10" s="145"/>
      <c r="V10" s="145"/>
      <c r="W10" s="145"/>
      <c r="X10" s="145"/>
      <c r="Y10" s="145"/>
      <c r="Z10" s="145"/>
      <c r="AA10" s="145"/>
      <c r="AB10" s="180"/>
      <c r="AC10" s="180"/>
      <c r="AD10" s="180"/>
    </row>
    <row r="11" spans="1:30">
      <c r="A11" s="867"/>
      <c r="B11" s="167"/>
      <c r="C11" s="168"/>
    </row>
    <row r="12" spans="1:30">
      <c r="A12" s="215"/>
      <c r="B12" s="11"/>
      <c r="C12" s="11"/>
      <c r="D12" s="11"/>
      <c r="E12" s="11"/>
      <c r="F12" s="11"/>
      <c r="G12" s="10"/>
    </row>
    <row r="13" spans="1:30">
      <c r="A13" s="217"/>
      <c r="B13" s="11"/>
      <c r="C13" s="11"/>
      <c r="D13" s="11"/>
      <c r="E13" s="11"/>
      <c r="F13" s="11"/>
      <c r="G13" s="10"/>
    </row>
    <row r="14" spans="1:30">
      <c r="A14" s="256"/>
      <c r="B14" s="11"/>
      <c r="C14" s="11"/>
      <c r="D14" s="11"/>
      <c r="E14" s="11"/>
      <c r="F14" s="11"/>
      <c r="H14" s="166"/>
    </row>
    <row r="15" spans="1:30">
      <c r="A15" s="256"/>
      <c r="B15" s="11"/>
      <c r="C15" s="11"/>
      <c r="D15" s="11"/>
      <c r="E15" s="11"/>
      <c r="F15" s="11"/>
      <c r="H15" s="166"/>
    </row>
    <row r="16" spans="1:30">
      <c r="A16" s="256"/>
      <c r="B16" s="11"/>
      <c r="C16" s="11"/>
      <c r="D16" s="11"/>
      <c r="E16" s="11"/>
      <c r="F16" s="11"/>
      <c r="H16" s="166"/>
    </row>
    <row r="17" spans="1:8" ht="12.75" customHeight="1">
      <c r="A17" s="256"/>
      <c r="B17" s="11"/>
      <c r="C17" s="11"/>
      <c r="D17" s="11"/>
      <c r="E17" s="11"/>
      <c r="F17" s="11"/>
      <c r="H17" s="166"/>
    </row>
    <row r="18" spans="1:8">
      <c r="A18" s="256"/>
      <c r="B18" s="11"/>
      <c r="C18" s="11"/>
      <c r="D18" s="11"/>
      <c r="E18" s="11"/>
      <c r="F18" s="11"/>
      <c r="H18" s="166"/>
    </row>
    <row r="19" spans="1:8">
      <c r="A19" s="256"/>
      <c r="B19" s="11"/>
      <c r="C19" s="11"/>
      <c r="D19" s="11"/>
      <c r="E19" s="11"/>
      <c r="F19" s="11"/>
      <c r="H19" s="166"/>
    </row>
    <row r="20" spans="1:8">
      <c r="A20" s="256"/>
      <c r="B20" s="11"/>
      <c r="C20" s="11"/>
      <c r="D20" s="11"/>
      <c r="E20" s="11"/>
      <c r="F20" s="11"/>
      <c r="H20" s="166"/>
    </row>
    <row r="21" spans="1:8">
      <c r="A21" s="256"/>
      <c r="B21" s="11"/>
      <c r="C21" s="11"/>
      <c r="D21" s="11"/>
      <c r="E21" s="11"/>
      <c r="F21" s="11"/>
      <c r="H21" s="166"/>
    </row>
    <row r="22" spans="1:8">
      <c r="A22" s="256"/>
      <c r="B22" s="11"/>
      <c r="C22" s="11"/>
      <c r="D22" s="11"/>
      <c r="E22" s="11"/>
      <c r="F22" s="11"/>
      <c r="H22" s="166"/>
    </row>
    <row r="23" spans="1:8" ht="12.75" customHeight="1">
      <c r="A23" s="256"/>
      <c r="B23" s="11"/>
      <c r="C23" s="11"/>
      <c r="D23" s="11"/>
      <c r="E23" s="11"/>
      <c r="F23" s="11"/>
      <c r="H23" s="166"/>
    </row>
    <row r="24" spans="1:8" ht="12.75" customHeight="1">
      <c r="A24" s="256"/>
      <c r="B24" s="11"/>
      <c r="C24" s="11"/>
      <c r="D24" s="11"/>
      <c r="E24" s="11"/>
      <c r="F24" s="11"/>
      <c r="H24" s="166"/>
    </row>
    <row r="25" spans="1:8" ht="12.75" customHeight="1">
      <c r="A25" s="256"/>
      <c r="B25" s="11"/>
      <c r="C25" s="11"/>
      <c r="D25" s="11"/>
      <c r="E25" s="11"/>
      <c r="F25" s="11"/>
      <c r="H25" s="166"/>
    </row>
    <row r="26" spans="1:8" ht="12.75" customHeight="1">
      <c r="A26" s="256"/>
      <c r="B26" s="11"/>
      <c r="C26" s="11"/>
      <c r="D26" s="11"/>
      <c r="E26" s="11"/>
      <c r="F26" s="11"/>
      <c r="H26" s="166"/>
    </row>
    <row r="27" spans="1:8" ht="12.75" customHeight="1">
      <c r="A27" s="256"/>
      <c r="B27" s="11"/>
      <c r="C27" s="11"/>
      <c r="D27" s="11"/>
      <c r="E27" s="11"/>
      <c r="F27" s="11"/>
      <c r="H27" s="166"/>
    </row>
    <row r="28" spans="1:8" ht="12.75" customHeight="1">
      <c r="A28" s="256"/>
      <c r="B28" s="11"/>
      <c r="C28" s="11"/>
      <c r="D28" s="11"/>
      <c r="E28" s="11"/>
      <c r="F28" s="11"/>
      <c r="H28" s="166"/>
    </row>
    <row r="29" spans="1:8" ht="12.75" customHeight="1">
      <c r="A29" s="256"/>
      <c r="B29" s="11"/>
      <c r="C29" s="11"/>
      <c r="D29" s="11"/>
      <c r="E29" s="11"/>
      <c r="F29" s="11"/>
      <c r="H29" s="166"/>
    </row>
    <row r="30" spans="1:8" ht="12.75" customHeight="1">
      <c r="A30" s="256"/>
      <c r="B30" s="11"/>
      <c r="C30" s="11"/>
      <c r="D30" s="11"/>
      <c r="E30" s="11"/>
      <c r="F30" s="11"/>
      <c r="H30" s="166"/>
    </row>
    <row r="31" spans="1:8" ht="12.75" customHeight="1">
      <c r="A31" s="256"/>
      <c r="B31" s="11"/>
      <c r="C31" s="11"/>
      <c r="D31" s="11"/>
      <c r="E31" s="11"/>
      <c r="F31" s="11"/>
      <c r="H31" s="166"/>
    </row>
    <row r="32" spans="1:8" ht="12.75" customHeight="1">
      <c r="A32" s="256"/>
      <c r="B32" s="11"/>
      <c r="C32" s="11"/>
      <c r="D32" s="11"/>
      <c r="E32" s="11"/>
      <c r="F32" s="11"/>
      <c r="H32" s="166"/>
    </row>
    <row r="33" spans="1:8" ht="12.75" customHeight="1">
      <c r="A33" s="256"/>
      <c r="B33" s="11"/>
      <c r="C33" s="11"/>
      <c r="D33" s="11"/>
      <c r="E33" s="11"/>
      <c r="F33" s="11"/>
      <c r="H33" s="166"/>
    </row>
    <row r="34" spans="1:8" ht="12.75" customHeight="1">
      <c r="A34" s="256"/>
      <c r="B34" s="11"/>
      <c r="C34" s="11"/>
      <c r="D34" s="11"/>
      <c r="E34" s="11"/>
      <c r="F34" s="11"/>
      <c r="H34" s="166"/>
    </row>
    <row r="35" spans="1:8" ht="12.75" customHeight="1">
      <c r="A35" s="256"/>
      <c r="B35" s="11"/>
      <c r="C35" s="11"/>
      <c r="D35" s="11"/>
      <c r="E35" s="11"/>
      <c r="F35" s="11"/>
      <c r="H35" s="166"/>
    </row>
    <row r="36" spans="1:8" ht="12.75" customHeight="1">
      <c r="A36" s="256"/>
      <c r="B36" s="11"/>
      <c r="C36" s="11"/>
      <c r="D36" s="11"/>
      <c r="E36" s="11"/>
      <c r="F36" s="11"/>
      <c r="H36" s="166"/>
    </row>
    <row r="37" spans="1:8" ht="12.75" customHeight="1">
      <c r="A37" s="256"/>
      <c r="B37" s="11"/>
      <c r="C37" s="11"/>
      <c r="D37" s="11"/>
      <c r="E37" s="11"/>
      <c r="F37" s="11"/>
      <c r="H37" s="166"/>
    </row>
    <row r="38" spans="1:8" ht="12.75" customHeight="1">
      <c r="A38" s="256"/>
      <c r="B38" s="11"/>
      <c r="C38" s="11"/>
      <c r="D38" s="11"/>
      <c r="E38" s="11"/>
      <c r="F38" s="11"/>
      <c r="H38" s="166"/>
    </row>
    <row r="39" spans="1:8" ht="12.75" customHeight="1">
      <c r="A39" s="256"/>
      <c r="B39" s="11"/>
      <c r="C39" s="11"/>
      <c r="D39" s="11"/>
      <c r="E39" s="11"/>
      <c r="F39" s="11"/>
      <c r="H39" s="166"/>
    </row>
    <row r="40" spans="1:8" ht="12.75" customHeight="1">
      <c r="A40" s="256"/>
      <c r="B40" s="11"/>
      <c r="C40" s="11"/>
      <c r="D40" s="11"/>
      <c r="E40" s="11"/>
      <c r="F40" s="11"/>
      <c r="H40" s="166"/>
    </row>
    <row r="41" spans="1:8" ht="12.75" customHeight="1">
      <c r="A41" s="256"/>
      <c r="B41" s="11"/>
      <c r="C41" s="11"/>
      <c r="D41" s="11"/>
      <c r="E41" s="11"/>
      <c r="F41" s="11"/>
      <c r="H41" s="166"/>
    </row>
    <row r="42" spans="1:8" ht="12.75" customHeight="1">
      <c r="A42" s="256"/>
      <c r="B42" s="11"/>
      <c r="C42" s="11"/>
      <c r="D42" s="11"/>
      <c r="E42" s="11"/>
      <c r="F42" s="11"/>
      <c r="H42" s="166"/>
    </row>
    <row r="43" spans="1:8" ht="12.6" customHeight="1">
      <c r="A43" s="256"/>
      <c r="B43" s="11"/>
      <c r="C43" s="11"/>
      <c r="D43" s="11"/>
      <c r="E43" s="11"/>
      <c r="F43" s="11"/>
      <c r="H43" s="166"/>
    </row>
    <row r="44" spans="1:8" ht="12.75" customHeight="1">
      <c r="A44" s="256"/>
      <c r="B44" s="11"/>
      <c r="C44" s="11"/>
      <c r="D44" s="11"/>
      <c r="E44" s="11"/>
      <c r="F44" s="11"/>
      <c r="H44" s="166"/>
    </row>
    <row r="45" spans="1:8">
      <c r="B45" s="11"/>
      <c r="C45" s="11"/>
      <c r="D45" s="11"/>
      <c r="E45" s="11"/>
      <c r="F45" s="11"/>
      <c r="H45" s="166"/>
    </row>
    <row r="46" spans="1:8">
      <c r="B46" s="11"/>
      <c r="C46" s="11"/>
      <c r="D46" s="11"/>
      <c r="E46" s="11"/>
      <c r="F46" s="11"/>
      <c r="H46" s="166"/>
    </row>
    <row r="47" spans="1:8">
      <c r="B47" s="11"/>
      <c r="C47" s="11"/>
      <c r="D47" s="11"/>
      <c r="E47" s="11"/>
      <c r="F47" s="11"/>
      <c r="H47" s="166"/>
    </row>
  </sheetData>
  <mergeCells count="4">
    <mergeCell ref="B6:F6"/>
    <mergeCell ref="B3:F3"/>
    <mergeCell ref="B4:F4"/>
    <mergeCell ref="B5:F5"/>
  </mergeCells>
  <phoneticPr fontId="0" type="noConversion"/>
  <pageMargins left="0.61" right="0.72" top="1" bottom="1" header="0.75" footer="0.5"/>
  <pageSetup scale="76" orientation="portrait" r:id="rId1"/>
  <headerFooter alignWithMargins="0">
    <oddHeader>&amp;R&amp;"Arial,Bold"Formula Rate 
&amp;A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L93"/>
  <sheetViews>
    <sheetView view="pageBreakPreview" zoomScale="70" zoomScaleNormal="100" zoomScaleSheetLayoutView="70" zoomScalePageLayoutView="50" workbookViewId="0">
      <selection activeCell="E61" sqref="E61"/>
    </sheetView>
  </sheetViews>
  <sheetFormatPr defaultColWidth="11.42578125" defaultRowHeight="12.75"/>
  <cols>
    <col min="1" max="1" width="10.42578125" style="885" customWidth="1"/>
    <col min="2" max="2" width="64.5703125" style="213" customWidth="1"/>
    <col min="3" max="3" width="26.5703125" style="213" bestFit="1" customWidth="1"/>
    <col min="4" max="11" width="20.42578125" style="213" customWidth="1"/>
    <col min="12" max="12" width="20" style="213" customWidth="1"/>
    <col min="13" max="14" width="15.140625" style="213" customWidth="1"/>
    <col min="15" max="16384" width="11.42578125" style="213"/>
  </cols>
  <sheetData>
    <row r="1" spans="1:12" ht="15">
      <c r="A1" s="1553" t="s">
        <v>387</v>
      </c>
      <c r="B1" s="1553"/>
      <c r="C1" s="1553"/>
      <c r="D1" s="1553"/>
      <c r="E1" s="1553"/>
      <c r="F1" s="1553"/>
      <c r="G1" s="1553"/>
      <c r="H1" s="889"/>
      <c r="I1" s="889"/>
    </row>
    <row r="2" spans="1:12" ht="15">
      <c r="A2" s="1554" t="str">
        <f>"Cost of Service Formula Rate Using Actual/Projected FF1 Balances"</f>
        <v>Cost of Service Formula Rate Using Actual/Projected FF1 Balances</v>
      </c>
      <c r="B2" s="1554"/>
      <c r="C2" s="1554"/>
      <c r="D2" s="1554"/>
      <c r="E2" s="1554"/>
      <c r="F2" s="1554"/>
      <c r="G2" s="1554"/>
      <c r="H2" s="889"/>
      <c r="I2" s="889"/>
      <c r="J2" s="889"/>
      <c r="L2" s="931"/>
    </row>
    <row r="3" spans="1:12" ht="15">
      <c r="A3" s="1554" t="s">
        <v>655</v>
      </c>
      <c r="B3" s="1554"/>
      <c r="C3" s="1554"/>
      <c r="D3" s="1554"/>
      <c r="E3" s="1554"/>
      <c r="F3" s="1554"/>
      <c r="G3" s="1554"/>
      <c r="H3" s="889"/>
      <c r="I3" s="889"/>
      <c r="J3" s="889"/>
    </row>
    <row r="4" spans="1:12" ht="15">
      <c r="A4" s="1561" t="str">
        <f>TCOS!F9</f>
        <v>WHEELING POWER COMPANY</v>
      </c>
      <c r="B4" s="1561"/>
      <c r="C4" s="1561"/>
      <c r="D4" s="1561"/>
      <c r="E4" s="1561"/>
      <c r="F4" s="1561"/>
      <c r="G4" s="1561"/>
      <c r="H4" s="889"/>
      <c r="I4" s="889"/>
      <c r="J4" s="889"/>
    </row>
    <row r="5" spans="1:12">
      <c r="A5" s="889"/>
      <c r="B5" s="927"/>
      <c r="C5" s="927"/>
      <c r="D5" s="927"/>
      <c r="E5" s="930"/>
      <c r="F5" s="929"/>
      <c r="H5" s="929"/>
      <c r="J5" s="929"/>
      <c r="L5" s="929"/>
    </row>
    <row r="6" spans="1:12" ht="12.75" customHeight="1">
      <c r="A6" s="889"/>
      <c r="B6" s="927"/>
      <c r="C6" s="1555" t="s">
        <v>654</v>
      </c>
      <c r="D6" s="1556"/>
      <c r="E6" s="1556"/>
      <c r="F6" s="1556"/>
      <c r="G6" s="1556"/>
      <c r="H6" s="1556"/>
      <c r="I6" s="1556"/>
      <c r="J6" s="1556"/>
      <c r="K6" s="1557"/>
      <c r="L6" s="5"/>
    </row>
    <row r="7" spans="1:12" s="924" customFormat="1" ht="25.5">
      <c r="A7" s="926" t="s">
        <v>644</v>
      </c>
      <c r="B7" s="925" t="s">
        <v>643</v>
      </c>
      <c r="C7" s="905" t="s">
        <v>229</v>
      </c>
      <c r="D7" s="905" t="s">
        <v>652</v>
      </c>
      <c r="E7" s="905" t="s">
        <v>115</v>
      </c>
      <c r="F7" s="905" t="s">
        <v>651</v>
      </c>
      <c r="G7" s="905" t="s">
        <v>438</v>
      </c>
      <c r="H7" s="905" t="s">
        <v>650</v>
      </c>
      <c r="I7" s="905" t="s">
        <v>334</v>
      </c>
      <c r="J7" s="905" t="s">
        <v>649</v>
      </c>
      <c r="K7" s="904" t="s">
        <v>648</v>
      </c>
      <c r="L7" s="5"/>
    </row>
    <row r="8" spans="1:12" s="897" customFormat="1">
      <c r="A8" s="896"/>
      <c r="B8" s="902" t="s">
        <v>638</v>
      </c>
      <c r="C8" s="901" t="s">
        <v>637</v>
      </c>
      <c r="D8" s="901" t="s">
        <v>636</v>
      </c>
      <c r="E8" s="901" t="s">
        <v>635</v>
      </c>
      <c r="F8" s="901" t="s">
        <v>634</v>
      </c>
      <c r="G8" s="901" t="s">
        <v>656</v>
      </c>
      <c r="H8" s="901" t="s">
        <v>657</v>
      </c>
      <c r="I8" s="901" t="s">
        <v>647</v>
      </c>
      <c r="J8" s="901" t="s">
        <v>646</v>
      </c>
      <c r="K8" s="923" t="s">
        <v>645</v>
      </c>
      <c r="L8" s="5"/>
    </row>
    <row r="9" spans="1:12" s="897" customFormat="1" ht="44.25" customHeight="1">
      <c r="A9" s="896"/>
      <c r="B9" s="902" t="s">
        <v>633</v>
      </c>
      <c r="C9" s="922" t="s">
        <v>441</v>
      </c>
      <c r="D9" s="922" t="s">
        <v>446</v>
      </c>
      <c r="E9" s="922" t="s">
        <v>442</v>
      </c>
      <c r="F9" s="922" t="s">
        <v>658</v>
      </c>
      <c r="G9" s="922" t="s">
        <v>443</v>
      </c>
      <c r="H9" s="922" t="s">
        <v>444</v>
      </c>
      <c r="I9" s="922" t="s">
        <v>659</v>
      </c>
      <c r="J9" s="922" t="s">
        <v>660</v>
      </c>
      <c r="K9" s="921" t="s">
        <v>445</v>
      </c>
      <c r="L9" s="5"/>
    </row>
    <row r="10" spans="1:12">
      <c r="A10" s="896">
        <v>1</v>
      </c>
      <c r="B10" s="920" t="s">
        <v>631</v>
      </c>
      <c r="C10" s="894">
        <v>1046939149.7699999</v>
      </c>
      <c r="D10" s="894">
        <v>6135507.0599999996</v>
      </c>
      <c r="E10" s="894">
        <v>165450444</v>
      </c>
      <c r="F10" s="894">
        <v>0</v>
      </c>
      <c r="G10" s="894">
        <v>244507646</v>
      </c>
      <c r="H10" s="894">
        <v>0</v>
      </c>
      <c r="I10" s="894">
        <v>11595422.58</v>
      </c>
      <c r="J10" s="894">
        <v>151294.73000000001</v>
      </c>
      <c r="K10" s="1521">
        <v>7000008.1400000006</v>
      </c>
      <c r="L10" s="5"/>
    </row>
    <row r="11" spans="1:12">
      <c r="A11" s="896">
        <f>+A10+1</f>
        <v>2</v>
      </c>
      <c r="B11" s="920" t="s">
        <v>185</v>
      </c>
      <c r="C11" s="894">
        <v>1047278960.2200001</v>
      </c>
      <c r="D11" s="894">
        <v>6135507.0599999996</v>
      </c>
      <c r="E11" s="894">
        <v>165474426.84999996</v>
      </c>
      <c r="F11" s="894">
        <v>0</v>
      </c>
      <c r="G11" s="894">
        <v>245355444.35999998</v>
      </c>
      <c r="H11" s="894">
        <v>0</v>
      </c>
      <c r="I11" s="894">
        <v>11595458.729999999</v>
      </c>
      <c r="J11" s="894">
        <v>151294.73000000001</v>
      </c>
      <c r="K11" s="1522">
        <v>7080227.1500000004</v>
      </c>
      <c r="L11" s="5"/>
    </row>
    <row r="12" spans="1:12">
      <c r="A12" s="896">
        <f t="shared" ref="A12:A23" si="0">+A11+1</f>
        <v>3</v>
      </c>
      <c r="B12" s="919" t="s">
        <v>558</v>
      </c>
      <c r="C12" s="894">
        <v>1047639724.04</v>
      </c>
      <c r="D12" s="894">
        <v>6135507.0599999996</v>
      </c>
      <c r="E12" s="894">
        <v>165475703.88999999</v>
      </c>
      <c r="F12" s="894">
        <v>0</v>
      </c>
      <c r="G12" s="894">
        <v>248302439.47</v>
      </c>
      <c r="H12" s="894">
        <v>0</v>
      </c>
      <c r="I12" s="894">
        <v>11599825.419999998</v>
      </c>
      <c r="J12" s="894">
        <v>151294.73000000001</v>
      </c>
      <c r="K12" s="1522">
        <v>7135644.7699999996</v>
      </c>
      <c r="L12" s="5"/>
    </row>
    <row r="13" spans="1:12">
      <c r="A13" s="896">
        <f t="shared" si="0"/>
        <v>4</v>
      </c>
      <c r="B13" s="919" t="s">
        <v>630</v>
      </c>
      <c r="C13" s="894">
        <v>1047412646.6799998</v>
      </c>
      <c r="D13" s="894">
        <v>6135507.0599999996</v>
      </c>
      <c r="E13" s="894">
        <v>165481344.57999998</v>
      </c>
      <c r="F13" s="894">
        <v>0</v>
      </c>
      <c r="G13" s="894">
        <v>249493507.94000006</v>
      </c>
      <c r="H13" s="894">
        <v>0</v>
      </c>
      <c r="I13" s="894">
        <v>11599825.419999998</v>
      </c>
      <c r="J13" s="894">
        <v>151294.73000000001</v>
      </c>
      <c r="K13" s="1522">
        <v>6967884.1799999997</v>
      </c>
      <c r="L13" s="5"/>
    </row>
    <row r="14" spans="1:12">
      <c r="A14" s="896">
        <f t="shared" si="0"/>
        <v>5</v>
      </c>
      <c r="B14" s="919" t="s">
        <v>187</v>
      </c>
      <c r="C14" s="894">
        <v>1047373165.4400001</v>
      </c>
      <c r="D14" s="894">
        <v>6135507.0599999996</v>
      </c>
      <c r="E14" s="894">
        <v>166222981.31999999</v>
      </c>
      <c r="F14" s="894">
        <v>0</v>
      </c>
      <c r="G14" s="894">
        <v>250231934.68000001</v>
      </c>
      <c r="H14" s="894">
        <v>0</v>
      </c>
      <c r="I14" s="894">
        <v>11612541.969999999</v>
      </c>
      <c r="J14" s="894">
        <v>151294.73000000001</v>
      </c>
      <c r="K14" s="1522">
        <v>7038776.5600000005</v>
      </c>
      <c r="L14" s="5"/>
    </row>
    <row r="15" spans="1:12">
      <c r="A15" s="896">
        <f t="shared" si="0"/>
        <v>6</v>
      </c>
      <c r="B15" s="919" t="s">
        <v>188</v>
      </c>
      <c r="C15" s="894">
        <v>1047348945.24</v>
      </c>
      <c r="D15" s="894">
        <v>6135507.0599999996</v>
      </c>
      <c r="E15" s="894">
        <v>166916407.74000001</v>
      </c>
      <c r="F15" s="894">
        <v>0</v>
      </c>
      <c r="G15" s="894">
        <v>251161598.36000007</v>
      </c>
      <c r="H15" s="894">
        <v>0</v>
      </c>
      <c r="I15" s="894">
        <v>11651214.220000001</v>
      </c>
      <c r="J15" s="894">
        <v>151294.73000000001</v>
      </c>
      <c r="K15" s="1522">
        <v>7093130.370000001</v>
      </c>
      <c r="L15" s="5"/>
    </row>
    <row r="16" spans="1:12">
      <c r="A16" s="896">
        <f t="shared" si="0"/>
        <v>7</v>
      </c>
      <c r="B16" s="919" t="s">
        <v>382</v>
      </c>
      <c r="C16" s="894">
        <v>1047366760.04</v>
      </c>
      <c r="D16" s="894">
        <v>6135507.0599999996</v>
      </c>
      <c r="E16" s="894">
        <v>166837001.09999996</v>
      </c>
      <c r="F16" s="894">
        <v>0</v>
      </c>
      <c r="G16" s="894">
        <v>252982321.64999998</v>
      </c>
      <c r="H16" s="894">
        <v>0</v>
      </c>
      <c r="I16" s="894">
        <v>11820950.160000002</v>
      </c>
      <c r="J16" s="894">
        <v>151294.73000000001</v>
      </c>
      <c r="K16" s="1522">
        <v>7019149.3600000003</v>
      </c>
      <c r="L16" s="5"/>
    </row>
    <row r="17" spans="1:12">
      <c r="A17" s="896">
        <f t="shared" si="0"/>
        <v>8</v>
      </c>
      <c r="B17" s="919" t="s">
        <v>189</v>
      </c>
      <c r="C17" s="894">
        <v>1047549942.45</v>
      </c>
      <c r="D17" s="894">
        <v>6135507.0599999996</v>
      </c>
      <c r="E17" s="894">
        <v>166852444.59000006</v>
      </c>
      <c r="F17" s="894">
        <v>0</v>
      </c>
      <c r="G17" s="894">
        <v>254083883.91000003</v>
      </c>
      <c r="H17" s="894">
        <v>0</v>
      </c>
      <c r="I17" s="894">
        <v>11821849.710000003</v>
      </c>
      <c r="J17" s="894">
        <v>151294.73000000001</v>
      </c>
      <c r="K17" s="1522">
        <v>7192086.8899999997</v>
      </c>
      <c r="L17" s="5"/>
    </row>
    <row r="18" spans="1:12">
      <c r="A18" s="896">
        <f t="shared" si="0"/>
        <v>9</v>
      </c>
      <c r="B18" s="919" t="s">
        <v>629</v>
      </c>
      <c r="C18" s="894">
        <v>1048318416.72</v>
      </c>
      <c r="D18" s="894">
        <v>6135507.0599999996</v>
      </c>
      <c r="E18" s="894">
        <v>166872066.95000005</v>
      </c>
      <c r="F18" s="894">
        <v>0</v>
      </c>
      <c r="G18" s="894">
        <v>258129605.13000003</v>
      </c>
      <c r="H18" s="894">
        <v>0</v>
      </c>
      <c r="I18" s="894">
        <v>11850299.690000001</v>
      </c>
      <c r="J18" s="894">
        <v>151294.73000000001</v>
      </c>
      <c r="K18" s="1522">
        <v>7270493.870000001</v>
      </c>
      <c r="L18" s="5"/>
    </row>
    <row r="19" spans="1:12">
      <c r="A19" s="896">
        <f t="shared" si="0"/>
        <v>10</v>
      </c>
      <c r="B19" s="919" t="s">
        <v>192</v>
      </c>
      <c r="C19" s="894">
        <v>1048318416.72</v>
      </c>
      <c r="D19" s="894">
        <v>6135507.0599999996</v>
      </c>
      <c r="E19" s="894">
        <v>166911491.13</v>
      </c>
      <c r="F19" s="894">
        <v>0</v>
      </c>
      <c r="G19" s="894">
        <v>261192459</v>
      </c>
      <c r="H19" s="894">
        <v>0</v>
      </c>
      <c r="I19" s="894">
        <v>11850506.66</v>
      </c>
      <c r="J19" s="894">
        <v>151294.73000000001</v>
      </c>
      <c r="K19" s="1522">
        <v>7704867.1399999997</v>
      </c>
      <c r="L19" s="5"/>
    </row>
    <row r="20" spans="1:12">
      <c r="A20" s="896">
        <f t="shared" si="0"/>
        <v>11</v>
      </c>
      <c r="B20" s="919" t="s">
        <v>559</v>
      </c>
      <c r="C20" s="894">
        <v>1048318416.7200001</v>
      </c>
      <c r="D20" s="894">
        <v>6135507.0599999996</v>
      </c>
      <c r="E20" s="894">
        <v>166993896.72000003</v>
      </c>
      <c r="F20" s="894">
        <v>0</v>
      </c>
      <c r="G20" s="894">
        <v>262889970.75999993</v>
      </c>
      <c r="H20" s="894">
        <v>0</v>
      </c>
      <c r="I20" s="894">
        <v>11864391.279999999</v>
      </c>
      <c r="J20" s="894">
        <v>151294.73000000001</v>
      </c>
      <c r="K20" s="1522">
        <v>7903529.0599999996</v>
      </c>
      <c r="L20" s="5"/>
    </row>
    <row r="21" spans="1:12">
      <c r="A21" s="896">
        <f t="shared" si="0"/>
        <v>12</v>
      </c>
      <c r="B21" s="919" t="s">
        <v>560</v>
      </c>
      <c r="C21" s="894">
        <v>1048903011.5699998</v>
      </c>
      <c r="D21" s="894">
        <v>6135507.0599999996</v>
      </c>
      <c r="E21" s="894">
        <v>167004024.36000001</v>
      </c>
      <c r="F21" s="894">
        <v>0</v>
      </c>
      <c r="G21" s="894">
        <v>264315113.05000001</v>
      </c>
      <c r="H21" s="894">
        <v>0</v>
      </c>
      <c r="I21" s="894">
        <v>11864393.950000003</v>
      </c>
      <c r="J21" s="894">
        <v>151294.73000000001</v>
      </c>
      <c r="K21" s="1522">
        <v>8422092.1999999993</v>
      </c>
      <c r="L21" s="5"/>
    </row>
    <row r="22" spans="1:12">
      <c r="A22" s="895">
        <f t="shared" si="0"/>
        <v>13</v>
      </c>
      <c r="B22" s="918" t="s">
        <v>628</v>
      </c>
      <c r="C22" s="894">
        <v>1055952231</v>
      </c>
      <c r="D22" s="894">
        <v>6439211.9800000004</v>
      </c>
      <c r="E22" s="894">
        <v>167161950.00999999</v>
      </c>
      <c r="F22" s="894">
        <v>0</v>
      </c>
      <c r="G22" s="894">
        <v>267384336</v>
      </c>
      <c r="H22" s="894">
        <v>0</v>
      </c>
      <c r="I22" s="894">
        <v>11864395</v>
      </c>
      <c r="J22" s="894">
        <v>151294.73000000001</v>
      </c>
      <c r="K22" s="1523">
        <v>9022231.6699999999</v>
      </c>
      <c r="L22" s="5"/>
    </row>
    <row r="23" spans="1:12" ht="13.5" thickBot="1">
      <c r="A23" s="1170">
        <f t="shared" si="0"/>
        <v>14</v>
      </c>
      <c r="B23" s="1171" t="s">
        <v>858</v>
      </c>
      <c r="C23" s="915">
        <f>SUM(C10:C22)/13</f>
        <v>1048363060.5084612</v>
      </c>
      <c r="D23" s="915">
        <f>SUM(D10:D22)/13</f>
        <v>6158868.9769230783</v>
      </c>
      <c r="E23" s="915">
        <f t="shared" ref="E23:K23" si="1">SUM(E10:E22)/13</f>
        <v>166434937.17230767</v>
      </c>
      <c r="F23" s="915">
        <f t="shared" si="1"/>
        <v>0</v>
      </c>
      <c r="G23" s="915">
        <f t="shared" si="1"/>
        <v>254617712.33153847</v>
      </c>
      <c r="H23" s="915">
        <f t="shared" si="1"/>
        <v>0</v>
      </c>
      <c r="I23" s="915">
        <f t="shared" si="1"/>
        <v>11737774.983846154</v>
      </c>
      <c r="J23" s="915">
        <f t="shared" si="1"/>
        <v>151294.73000000001</v>
      </c>
      <c r="K23" s="914">
        <f t="shared" si="1"/>
        <v>7450009.3353846166</v>
      </c>
      <c r="L23" s="5"/>
    </row>
    <row r="24" spans="1:12" ht="13.5" thickTop="1">
      <c r="A24" s="889"/>
      <c r="B24" s="888"/>
      <c r="C24" s="913"/>
      <c r="D24" s="886"/>
      <c r="E24" s="886"/>
      <c r="F24" s="886"/>
      <c r="G24" s="913"/>
      <c r="H24" s="913"/>
      <c r="I24" s="913"/>
      <c r="J24" s="928"/>
      <c r="K24" s="928"/>
      <c r="L24" s="5"/>
    </row>
    <row r="25" spans="1:12" ht="12.75" customHeight="1">
      <c r="A25" s="889"/>
      <c r="B25" s="927"/>
      <c r="C25" s="1558" t="s">
        <v>653</v>
      </c>
      <c r="D25" s="1559"/>
      <c r="E25" s="1559"/>
      <c r="F25" s="1559"/>
      <c r="G25" s="1559"/>
      <c r="H25" s="1559"/>
      <c r="I25" s="1559"/>
      <c r="J25" s="1559"/>
      <c r="K25" s="1560"/>
      <c r="L25" s="5"/>
    </row>
    <row r="26" spans="1:12" s="924" customFormat="1" ht="25.5">
      <c r="A26" s="926" t="s">
        <v>644</v>
      </c>
      <c r="B26" s="925" t="s">
        <v>643</v>
      </c>
      <c r="C26" s="905" t="s">
        <v>229</v>
      </c>
      <c r="D26" s="905" t="s">
        <v>652</v>
      </c>
      <c r="E26" s="905" t="s">
        <v>115</v>
      </c>
      <c r="F26" s="905" t="s">
        <v>651</v>
      </c>
      <c r="G26" s="905" t="s">
        <v>438</v>
      </c>
      <c r="H26" s="905" t="s">
        <v>650</v>
      </c>
      <c r="I26" s="905" t="s">
        <v>334</v>
      </c>
      <c r="J26" s="905" t="s">
        <v>649</v>
      </c>
      <c r="K26" s="904" t="s">
        <v>648</v>
      </c>
      <c r="L26" s="5"/>
    </row>
    <row r="27" spans="1:12" s="897" customFormat="1">
      <c r="A27" s="896"/>
      <c r="B27" s="902" t="s">
        <v>638</v>
      </c>
      <c r="C27" s="901" t="s">
        <v>637</v>
      </c>
      <c r="D27" s="901" t="s">
        <v>636</v>
      </c>
      <c r="E27" s="901" t="s">
        <v>635</v>
      </c>
      <c r="F27" s="901" t="s">
        <v>634</v>
      </c>
      <c r="G27" s="901" t="s">
        <v>656</v>
      </c>
      <c r="H27" s="901" t="s">
        <v>657</v>
      </c>
      <c r="I27" s="901" t="s">
        <v>647</v>
      </c>
      <c r="J27" s="901" t="s">
        <v>646</v>
      </c>
      <c r="K27" s="923" t="s">
        <v>645</v>
      </c>
      <c r="L27" s="5"/>
    </row>
    <row r="28" spans="1:12" s="897" customFormat="1" ht="44.25" customHeight="1">
      <c r="A28" s="896"/>
      <c r="B28" s="902" t="s">
        <v>633</v>
      </c>
      <c r="C28" s="922" t="s">
        <v>379</v>
      </c>
      <c r="D28" s="922" t="s">
        <v>661</v>
      </c>
      <c r="E28" s="922" t="s">
        <v>380</v>
      </c>
      <c r="F28" s="922" t="s">
        <v>662</v>
      </c>
      <c r="G28" s="922" t="s">
        <v>506</v>
      </c>
      <c r="H28" s="922" t="s">
        <v>663</v>
      </c>
      <c r="I28" s="922" t="s">
        <v>480</v>
      </c>
      <c r="J28" s="922" t="s">
        <v>664</v>
      </c>
      <c r="K28" s="921" t="s">
        <v>507</v>
      </c>
      <c r="L28" s="5"/>
    </row>
    <row r="29" spans="1:12">
      <c r="A29" s="896">
        <f>+A23+1</f>
        <v>15</v>
      </c>
      <c r="B29" s="920" t="s">
        <v>631</v>
      </c>
      <c r="C29" s="894">
        <v>482122990.13999999</v>
      </c>
      <c r="D29" s="894">
        <v>3211951.92</v>
      </c>
      <c r="E29" s="894">
        <v>34670052.910000004</v>
      </c>
      <c r="F29" s="894">
        <v>0</v>
      </c>
      <c r="G29" s="894">
        <v>71605509.26000002</v>
      </c>
      <c r="H29" s="894">
        <v>0</v>
      </c>
      <c r="I29" s="894">
        <v>3628875.4500000016</v>
      </c>
      <c r="J29" s="894">
        <v>68885.16</v>
      </c>
      <c r="K29" s="1521">
        <v>2878360.0599999996</v>
      </c>
      <c r="L29" s="5"/>
    </row>
    <row r="30" spans="1:12">
      <c r="A30" s="896">
        <f>+A29+1</f>
        <v>16</v>
      </c>
      <c r="B30" s="920" t="s">
        <v>185</v>
      </c>
      <c r="C30" s="894">
        <v>483822618.88999993</v>
      </c>
      <c r="D30" s="894">
        <v>3227788.14</v>
      </c>
      <c r="E30" s="894">
        <v>34944296.799999997</v>
      </c>
      <c r="F30" s="894">
        <v>0</v>
      </c>
      <c r="G30" s="894">
        <v>72143436.160000011</v>
      </c>
      <c r="H30" s="894">
        <v>0</v>
      </c>
      <c r="I30" s="894">
        <v>3662843.7000000007</v>
      </c>
      <c r="J30" s="894">
        <v>69586.820000000007</v>
      </c>
      <c r="K30" s="1522">
        <v>2984015.7199999988</v>
      </c>
      <c r="L30" s="5"/>
    </row>
    <row r="31" spans="1:12">
      <c r="A31" s="896">
        <f t="shared" ref="A31:A42" si="2">+A30+1</f>
        <v>17</v>
      </c>
      <c r="B31" s="919" t="s">
        <v>558</v>
      </c>
      <c r="C31" s="894">
        <v>486186086.5</v>
      </c>
      <c r="D31" s="894">
        <v>3243624.35</v>
      </c>
      <c r="E31" s="894">
        <v>35239654.870000005</v>
      </c>
      <c r="F31" s="894">
        <v>0</v>
      </c>
      <c r="G31" s="894">
        <v>72411131.250000015</v>
      </c>
      <c r="H31" s="894">
        <v>0</v>
      </c>
      <c r="I31" s="894">
        <v>3673091.4200000009</v>
      </c>
      <c r="J31" s="894">
        <v>70288.48000000001</v>
      </c>
      <c r="K31" s="1522">
        <v>3091008.3600000003</v>
      </c>
      <c r="L31" s="5"/>
    </row>
    <row r="32" spans="1:12">
      <c r="A32" s="896">
        <f t="shared" si="2"/>
        <v>18</v>
      </c>
      <c r="B32" s="919" t="s">
        <v>630</v>
      </c>
      <c r="C32" s="894">
        <v>488329407.88</v>
      </c>
      <c r="D32" s="894">
        <v>3259460.56</v>
      </c>
      <c r="E32" s="894">
        <v>35498529.49000001</v>
      </c>
      <c r="F32" s="894">
        <v>0</v>
      </c>
      <c r="G32" s="894">
        <v>72896650.189999998</v>
      </c>
      <c r="H32" s="894">
        <v>0</v>
      </c>
      <c r="I32" s="894">
        <v>3707207.6500000008</v>
      </c>
      <c r="J32" s="894">
        <v>70990.14</v>
      </c>
      <c r="K32" s="1522">
        <v>2939581.9600000004</v>
      </c>
      <c r="L32" s="5"/>
    </row>
    <row r="33" spans="1:12">
      <c r="A33" s="896">
        <f t="shared" si="2"/>
        <v>19</v>
      </c>
      <c r="B33" s="919" t="s">
        <v>187</v>
      </c>
      <c r="C33" s="894">
        <v>490375047.94999993</v>
      </c>
      <c r="D33" s="894">
        <v>3275296.79</v>
      </c>
      <c r="E33" s="894">
        <v>35303723.579999998</v>
      </c>
      <c r="F33" s="894">
        <v>0</v>
      </c>
      <c r="G33" s="894">
        <v>73418930.910000011</v>
      </c>
      <c r="H33" s="894">
        <v>0</v>
      </c>
      <c r="I33" s="894">
        <v>3741183.22</v>
      </c>
      <c r="J33" s="894">
        <v>71691.8</v>
      </c>
      <c r="K33" s="1522">
        <v>3044702.22</v>
      </c>
      <c r="L33" s="5"/>
    </row>
    <row r="34" spans="1:12">
      <c r="A34" s="896">
        <f t="shared" si="2"/>
        <v>20</v>
      </c>
      <c r="B34" s="919" t="s">
        <v>188</v>
      </c>
      <c r="C34" s="894">
        <v>492741018.61999989</v>
      </c>
      <c r="D34" s="894">
        <v>3291133.01</v>
      </c>
      <c r="E34" s="894">
        <v>35540925.549999997</v>
      </c>
      <c r="F34" s="894">
        <v>0</v>
      </c>
      <c r="G34" s="894">
        <v>73962778.519999996</v>
      </c>
      <c r="H34" s="894">
        <v>0</v>
      </c>
      <c r="I34" s="894">
        <v>3775204.89</v>
      </c>
      <c r="J34" s="894">
        <v>72393.460000000006</v>
      </c>
      <c r="K34" s="1522">
        <v>3151004.0200000005</v>
      </c>
      <c r="L34" s="5"/>
    </row>
    <row r="35" spans="1:12">
      <c r="A35" s="896">
        <f t="shared" si="2"/>
        <v>21</v>
      </c>
      <c r="B35" s="919" t="s">
        <v>382</v>
      </c>
      <c r="C35" s="894">
        <v>495098940.25999993</v>
      </c>
      <c r="D35" s="894">
        <v>3306969.2</v>
      </c>
      <c r="E35" s="894">
        <v>35777422.57</v>
      </c>
      <c r="F35" s="894">
        <v>0</v>
      </c>
      <c r="G35" s="894">
        <v>74571633.150000006</v>
      </c>
      <c r="H35" s="894">
        <v>0</v>
      </c>
      <c r="I35" s="894">
        <v>3824414.3000000007</v>
      </c>
      <c r="J35" s="894">
        <v>73095.12000000001</v>
      </c>
      <c r="K35" s="1522">
        <v>3071208.05</v>
      </c>
      <c r="L35" s="5"/>
    </row>
    <row r="36" spans="1:12">
      <c r="A36" s="896">
        <f t="shared" si="2"/>
        <v>22</v>
      </c>
      <c r="B36" s="919" t="s">
        <v>189</v>
      </c>
      <c r="C36" s="894">
        <v>497273428.90000004</v>
      </c>
      <c r="D36" s="894">
        <v>3322805.41</v>
      </c>
      <c r="E36" s="894">
        <v>36004931.359999999</v>
      </c>
      <c r="F36" s="894">
        <v>0</v>
      </c>
      <c r="G36" s="894">
        <v>75202912.890000015</v>
      </c>
      <c r="H36" s="894">
        <v>0</v>
      </c>
      <c r="I36" s="894">
        <v>3853730.4699999997</v>
      </c>
      <c r="J36" s="894">
        <v>73796.78</v>
      </c>
      <c r="K36" s="1522">
        <v>3177182.7400000012</v>
      </c>
      <c r="L36" s="5"/>
    </row>
    <row r="37" spans="1:12">
      <c r="A37" s="896">
        <f t="shared" si="2"/>
        <v>23</v>
      </c>
      <c r="B37" s="919" t="s">
        <v>629</v>
      </c>
      <c r="C37" s="894">
        <v>499095810.77000004</v>
      </c>
      <c r="D37" s="894">
        <v>3338641.62</v>
      </c>
      <c r="E37" s="894">
        <v>36284606.93</v>
      </c>
      <c r="F37" s="894">
        <v>0</v>
      </c>
      <c r="G37" s="894">
        <v>75812750.279999986</v>
      </c>
      <c r="H37" s="894">
        <v>0</v>
      </c>
      <c r="I37" s="894">
        <v>3883130.46</v>
      </c>
      <c r="J37" s="894">
        <v>74498.44</v>
      </c>
      <c r="K37" s="1522">
        <v>3286039.7099999995</v>
      </c>
      <c r="L37" s="5"/>
    </row>
    <row r="38" spans="1:12">
      <c r="A38" s="896">
        <f t="shared" si="2"/>
        <v>24</v>
      </c>
      <c r="B38" s="919" t="s">
        <v>192</v>
      </c>
      <c r="C38" s="894">
        <v>501093502.67999989</v>
      </c>
      <c r="D38" s="894">
        <v>3354477.8200000003</v>
      </c>
      <c r="E38" s="894">
        <v>36568701.699999996</v>
      </c>
      <c r="F38" s="894">
        <v>0</v>
      </c>
      <c r="G38" s="894">
        <v>76546150.379999995</v>
      </c>
      <c r="H38" s="894">
        <v>0</v>
      </c>
      <c r="I38" s="894">
        <v>3911472.85</v>
      </c>
      <c r="J38" s="894">
        <v>75200.100000000006</v>
      </c>
      <c r="K38" s="1522">
        <v>3273586.8699999996</v>
      </c>
      <c r="L38" s="5"/>
    </row>
    <row r="39" spans="1:12">
      <c r="A39" s="896">
        <f t="shared" si="2"/>
        <v>25</v>
      </c>
      <c r="B39" s="919" t="s">
        <v>559</v>
      </c>
      <c r="C39" s="894">
        <v>502245803.36999995</v>
      </c>
      <c r="D39" s="894">
        <v>3370314.04</v>
      </c>
      <c r="E39" s="894">
        <v>36840904.090000004</v>
      </c>
      <c r="F39" s="894">
        <v>0</v>
      </c>
      <c r="G39" s="894">
        <v>77209807.760000005</v>
      </c>
      <c r="H39" s="894">
        <v>0</v>
      </c>
      <c r="I39" s="894">
        <v>3935101.4599999995</v>
      </c>
      <c r="J39" s="894">
        <v>75901.759999999995</v>
      </c>
      <c r="K39" s="1522">
        <v>3386221.0599999996</v>
      </c>
      <c r="L39" s="5"/>
    </row>
    <row r="40" spans="1:12">
      <c r="A40" s="896">
        <f t="shared" si="2"/>
        <v>26</v>
      </c>
      <c r="B40" s="919" t="s">
        <v>560</v>
      </c>
      <c r="C40" s="894">
        <v>503285590.67000002</v>
      </c>
      <c r="D40" s="894">
        <v>3386150.23</v>
      </c>
      <c r="E40" s="894">
        <v>37111450.82</v>
      </c>
      <c r="F40" s="894">
        <v>0</v>
      </c>
      <c r="G40" s="894">
        <v>76442868.080000013</v>
      </c>
      <c r="H40" s="894">
        <v>0</v>
      </c>
      <c r="I40" s="894">
        <v>3958266.6399999997</v>
      </c>
      <c r="J40" s="894">
        <v>76603.42</v>
      </c>
      <c r="K40" s="1522">
        <v>3502166.3</v>
      </c>
      <c r="L40" s="5"/>
    </row>
    <row r="41" spans="1:12">
      <c r="A41" s="895">
        <f t="shared" si="2"/>
        <v>27</v>
      </c>
      <c r="B41" s="918" t="s">
        <v>628</v>
      </c>
      <c r="C41" s="894">
        <v>504045723.60999995</v>
      </c>
      <c r="D41" s="894">
        <v>3401986.4299999997</v>
      </c>
      <c r="E41" s="894">
        <v>37009076.020000003</v>
      </c>
      <c r="F41" s="894">
        <v>0</v>
      </c>
      <c r="G41" s="894">
        <v>77094547.789999992</v>
      </c>
      <c r="H41" s="894">
        <v>0</v>
      </c>
      <c r="I41" s="894">
        <v>3977934.9299999997</v>
      </c>
      <c r="J41" s="894">
        <v>77305.08</v>
      </c>
      <c r="K41" s="1523">
        <v>3340607.3</v>
      </c>
      <c r="L41" s="5"/>
    </row>
    <row r="42" spans="1:12" ht="13.5" thickBot="1">
      <c r="A42" s="917">
        <f t="shared" si="2"/>
        <v>28</v>
      </c>
      <c r="B42" s="1171" t="s">
        <v>858</v>
      </c>
      <c r="C42" s="915">
        <f>SUM(C29:C41)/13</f>
        <v>494285843.86461538</v>
      </c>
      <c r="D42" s="915">
        <f t="shared" ref="D42:K42" si="3">SUM(D29:D41)/13</f>
        <v>3306969.193846154</v>
      </c>
      <c r="E42" s="915">
        <f t="shared" si="3"/>
        <v>35907252.053076923</v>
      </c>
      <c r="F42" s="915">
        <f t="shared" si="3"/>
        <v>0</v>
      </c>
      <c r="G42" s="915">
        <f t="shared" si="3"/>
        <v>74563008.201538458</v>
      </c>
      <c r="H42" s="915">
        <f t="shared" si="3"/>
        <v>0</v>
      </c>
      <c r="I42" s="915">
        <f t="shared" si="3"/>
        <v>3810189.0338461543</v>
      </c>
      <c r="J42" s="915">
        <f t="shared" si="3"/>
        <v>73095.12</v>
      </c>
      <c r="K42" s="914">
        <f t="shared" si="3"/>
        <v>3163514.1823076922</v>
      </c>
      <c r="L42" s="5"/>
    </row>
    <row r="43" spans="1:12" ht="13.5" thickTop="1">
      <c r="A43" s="889"/>
      <c r="B43" s="888"/>
      <c r="C43" s="913"/>
      <c r="D43" s="886"/>
      <c r="E43" s="886"/>
      <c r="F43" s="886"/>
      <c r="G43" s="913"/>
      <c r="H43"/>
      <c r="I43"/>
      <c r="J43"/>
      <c r="K43"/>
      <c r="L43" s="5"/>
    </row>
    <row r="44" spans="1:12">
      <c r="A44" s="889"/>
      <c r="B44" s="888"/>
      <c r="C44" s="913"/>
      <c r="D44" s="886"/>
      <c r="E44" s="886"/>
      <c r="F44" s="886"/>
      <c r="G44" s="913"/>
      <c r="H44" s="913"/>
      <c r="I44" s="913"/>
    </row>
    <row r="45" spans="1:12">
      <c r="A45" s="912"/>
      <c r="B45" s="911"/>
      <c r="C45" s="910"/>
      <c r="D45" s="909"/>
      <c r="E45" s="909"/>
      <c r="F45" s="908"/>
      <c r="G45"/>
      <c r="H45"/>
      <c r="I45"/>
      <c r="J45"/>
      <c r="K45"/>
      <c r="L45" s="5"/>
    </row>
    <row r="46" spans="1:12" ht="72" customHeight="1">
      <c r="A46" s="907" t="s">
        <v>644</v>
      </c>
      <c r="B46" s="901" t="s">
        <v>643</v>
      </c>
      <c r="C46" s="906" t="s">
        <v>642</v>
      </c>
      <c r="D46" s="905" t="s">
        <v>641</v>
      </c>
      <c r="E46" s="905" t="s">
        <v>640</v>
      </c>
      <c r="F46" s="904" t="s">
        <v>639</v>
      </c>
      <c r="G46"/>
      <c r="H46"/>
      <c r="I46"/>
      <c r="J46"/>
      <c r="K46"/>
      <c r="L46" s="5"/>
    </row>
    <row r="47" spans="1:12" s="897" customFormat="1">
      <c r="A47" s="896"/>
      <c r="B47" s="901" t="s">
        <v>638</v>
      </c>
      <c r="C47" s="903" t="s">
        <v>637</v>
      </c>
      <c r="D47" s="901" t="s">
        <v>636</v>
      </c>
      <c r="E47" s="901" t="s">
        <v>635</v>
      </c>
      <c r="F47" s="902" t="s">
        <v>634</v>
      </c>
      <c r="G47"/>
      <c r="H47"/>
      <c r="I47"/>
      <c r="J47"/>
      <c r="K47"/>
      <c r="L47" s="5"/>
    </row>
    <row r="48" spans="1:12" s="897" customFormat="1" ht="63.75">
      <c r="A48" s="896"/>
      <c r="B48" s="901" t="s">
        <v>633</v>
      </c>
      <c r="C48" s="900" t="s">
        <v>665</v>
      </c>
      <c r="D48" s="899" t="s">
        <v>666</v>
      </c>
      <c r="E48" s="899" t="s">
        <v>632</v>
      </c>
      <c r="F48" s="898" t="s">
        <v>632</v>
      </c>
      <c r="G48"/>
      <c r="H48"/>
      <c r="I48"/>
      <c r="J48"/>
      <c r="K48"/>
      <c r="L48" s="5"/>
    </row>
    <row r="49" spans="1:12">
      <c r="A49" s="896">
        <f>+A42+1</f>
        <v>29</v>
      </c>
      <c r="B49" s="920" t="s">
        <v>631</v>
      </c>
      <c r="C49" s="894">
        <v>11596440.1</v>
      </c>
      <c r="D49" s="894">
        <v>6545792.6500000004</v>
      </c>
      <c r="E49" s="1451">
        <v>0</v>
      </c>
      <c r="F49" s="1452">
        <v>0</v>
      </c>
      <c r="G49"/>
      <c r="H49"/>
      <c r="I49"/>
      <c r="J49"/>
      <c r="K49"/>
      <c r="L49" s="5"/>
    </row>
    <row r="50" spans="1:12">
      <c r="A50" s="896">
        <f>+A49+1</f>
        <v>30</v>
      </c>
      <c r="B50" s="920" t="s">
        <v>185</v>
      </c>
      <c r="C50" s="894">
        <v>11596440.1</v>
      </c>
      <c r="D50" s="894">
        <v>6567181.7400000002</v>
      </c>
      <c r="E50" s="1451">
        <v>0</v>
      </c>
      <c r="F50" s="1452">
        <v>0</v>
      </c>
      <c r="G50"/>
      <c r="H50"/>
      <c r="I50"/>
      <c r="J50"/>
      <c r="K50"/>
      <c r="L50" s="5"/>
    </row>
    <row r="51" spans="1:12">
      <c r="A51" s="896">
        <f t="shared" ref="A51:A62" si="4">+A50+1</f>
        <v>31</v>
      </c>
      <c r="B51" s="919" t="s">
        <v>558</v>
      </c>
      <c r="C51" s="894">
        <v>11596440.1</v>
      </c>
      <c r="D51" s="894">
        <v>6588570.8499999996</v>
      </c>
      <c r="E51" s="1451">
        <v>0</v>
      </c>
      <c r="F51" s="1452">
        <v>0</v>
      </c>
      <c r="G51"/>
      <c r="H51"/>
      <c r="I51"/>
      <c r="J51"/>
      <c r="K51"/>
      <c r="L51" s="5"/>
    </row>
    <row r="52" spans="1:12">
      <c r="A52" s="896">
        <f t="shared" si="4"/>
        <v>32</v>
      </c>
      <c r="B52" s="919" t="s">
        <v>630</v>
      </c>
      <c r="C52" s="894">
        <v>11596440.1</v>
      </c>
      <c r="D52" s="894">
        <v>6609959.96</v>
      </c>
      <c r="E52" s="1451">
        <v>0</v>
      </c>
      <c r="F52" s="1452">
        <v>0</v>
      </c>
      <c r="G52"/>
      <c r="H52"/>
      <c r="I52"/>
      <c r="J52"/>
      <c r="K52"/>
      <c r="L52" s="5"/>
    </row>
    <row r="53" spans="1:12">
      <c r="A53" s="896">
        <f t="shared" si="4"/>
        <v>33</v>
      </c>
      <c r="B53" s="919" t="s">
        <v>187</v>
      </c>
      <c r="C53" s="894">
        <v>12338960.800000001</v>
      </c>
      <c r="D53" s="894">
        <v>6174018.1600000001</v>
      </c>
      <c r="E53" s="1451">
        <v>0</v>
      </c>
      <c r="F53" s="1452">
        <v>0</v>
      </c>
      <c r="G53"/>
      <c r="H53"/>
      <c r="I53"/>
      <c r="J53"/>
      <c r="K53"/>
      <c r="L53" s="5"/>
    </row>
    <row r="54" spans="1:12">
      <c r="A54" s="896">
        <f t="shared" si="4"/>
        <v>34</v>
      </c>
      <c r="B54" s="919" t="s">
        <v>188</v>
      </c>
      <c r="C54" s="894">
        <v>12338960.800000001</v>
      </c>
      <c r="D54" s="894">
        <v>6123820.6799999997</v>
      </c>
      <c r="E54" s="1451">
        <v>0</v>
      </c>
      <c r="F54" s="1452">
        <v>0</v>
      </c>
      <c r="G54"/>
      <c r="H54"/>
      <c r="I54"/>
      <c r="J54"/>
      <c r="K54"/>
      <c r="L54" s="5"/>
    </row>
    <row r="55" spans="1:12">
      <c r="A55" s="896">
        <f t="shared" si="4"/>
        <v>35</v>
      </c>
      <c r="B55" s="919" t="s">
        <v>382</v>
      </c>
      <c r="C55" s="894">
        <v>12338960.800000001</v>
      </c>
      <c r="D55" s="894">
        <v>6152078.0800000001</v>
      </c>
      <c r="E55" s="1451">
        <v>0</v>
      </c>
      <c r="F55" s="1452">
        <v>0</v>
      </c>
      <c r="G55"/>
      <c r="H55"/>
      <c r="I55"/>
      <c r="J55"/>
      <c r="K55"/>
      <c r="L55" s="5"/>
    </row>
    <row r="56" spans="1:12">
      <c r="A56" s="896">
        <f t="shared" si="4"/>
        <v>36</v>
      </c>
      <c r="B56" s="919" t="s">
        <v>189</v>
      </c>
      <c r="C56" s="894">
        <v>12338960.800000001</v>
      </c>
      <c r="D56" s="894">
        <v>6174840.8899999997</v>
      </c>
      <c r="E56" s="1451">
        <v>0</v>
      </c>
      <c r="F56" s="1452">
        <v>0</v>
      </c>
      <c r="G56"/>
      <c r="H56"/>
      <c r="I56"/>
      <c r="J56"/>
      <c r="K56"/>
      <c r="L56" s="5"/>
    </row>
    <row r="57" spans="1:12">
      <c r="A57" s="896">
        <f t="shared" si="4"/>
        <v>37</v>
      </c>
      <c r="B57" s="919" t="s">
        <v>629</v>
      </c>
      <c r="C57" s="894">
        <v>12338960.800000001</v>
      </c>
      <c r="D57" s="894">
        <v>6197603.6600000001</v>
      </c>
      <c r="E57" s="1451">
        <v>0</v>
      </c>
      <c r="F57" s="1452">
        <v>0</v>
      </c>
      <c r="G57"/>
      <c r="H57"/>
      <c r="I57"/>
      <c r="J57"/>
      <c r="K57"/>
      <c r="L57" s="5"/>
    </row>
    <row r="58" spans="1:12">
      <c r="A58" s="896">
        <f t="shared" si="4"/>
        <v>38</v>
      </c>
      <c r="B58" s="919" t="s">
        <v>192</v>
      </c>
      <c r="C58" s="894">
        <v>12338960.800000001</v>
      </c>
      <c r="D58" s="894">
        <v>6220366.4400000004</v>
      </c>
      <c r="E58" s="1451">
        <v>0</v>
      </c>
      <c r="F58" s="1452">
        <v>0</v>
      </c>
      <c r="G58"/>
      <c r="H58"/>
      <c r="I58"/>
      <c r="J58"/>
      <c r="K58"/>
      <c r="L58" s="5"/>
    </row>
    <row r="59" spans="1:12">
      <c r="A59" s="896">
        <f t="shared" si="4"/>
        <v>39</v>
      </c>
      <c r="B59" s="919" t="s">
        <v>559</v>
      </c>
      <c r="C59" s="894">
        <v>12338960.800000001</v>
      </c>
      <c r="D59" s="894">
        <v>6243129.2199999997</v>
      </c>
      <c r="E59" s="1451">
        <v>0</v>
      </c>
      <c r="F59" s="1452">
        <v>0</v>
      </c>
      <c r="G59"/>
      <c r="H59"/>
      <c r="I59"/>
      <c r="J59"/>
      <c r="K59"/>
      <c r="L59" s="5"/>
    </row>
    <row r="60" spans="1:12">
      <c r="A60" s="896">
        <f t="shared" si="4"/>
        <v>40</v>
      </c>
      <c r="B60" s="919" t="s">
        <v>560</v>
      </c>
      <c r="C60" s="894">
        <v>12338960.800000001</v>
      </c>
      <c r="D60" s="894">
        <v>6265891.9900000002</v>
      </c>
      <c r="E60" s="1451">
        <v>0</v>
      </c>
      <c r="F60" s="1452">
        <v>0</v>
      </c>
      <c r="G60"/>
      <c r="H60"/>
      <c r="I60"/>
      <c r="J60"/>
      <c r="K60"/>
      <c r="L60" s="5"/>
    </row>
    <row r="61" spans="1:12">
      <c r="A61" s="895">
        <f t="shared" si="4"/>
        <v>41</v>
      </c>
      <c r="B61" s="918" t="s">
        <v>628</v>
      </c>
      <c r="C61" s="894">
        <v>12338960.800000001</v>
      </c>
      <c r="D61" s="894">
        <v>6288654.7800000003</v>
      </c>
      <c r="E61" s="1451">
        <v>0</v>
      </c>
      <c r="F61" s="1452">
        <v>0</v>
      </c>
      <c r="G61"/>
      <c r="H61"/>
      <c r="I61"/>
      <c r="J61"/>
      <c r="K61"/>
      <c r="L61" s="5"/>
    </row>
    <row r="62" spans="1:12" ht="13.5" thickBot="1">
      <c r="A62" s="893">
        <f t="shared" si="4"/>
        <v>42</v>
      </c>
      <c r="B62" s="1171" t="s">
        <v>858</v>
      </c>
      <c r="C62" s="915">
        <f>SUM(C49:C61)/13</f>
        <v>12110492.892307691</v>
      </c>
      <c r="D62" s="891">
        <f>SUM(D49:D61)/13</f>
        <v>6319377.6230769223</v>
      </c>
      <c r="E62" s="891">
        <f>SUM(E49:E61)/13</f>
        <v>0</v>
      </c>
      <c r="F62" s="890">
        <f>SUM(F49:F61)/13</f>
        <v>0</v>
      </c>
      <c r="G62"/>
      <c r="H62"/>
      <c r="I62"/>
      <c r="J62"/>
      <c r="K62"/>
      <c r="L62" s="5"/>
    </row>
    <row r="63" spans="1:12" ht="13.5" thickTop="1">
      <c r="A63" s="889"/>
      <c r="B63" s="888"/>
      <c r="G63"/>
      <c r="H63"/>
      <c r="I63"/>
      <c r="J63"/>
      <c r="K63"/>
    </row>
    <row r="64" spans="1:12">
      <c r="A64" s="889">
        <v>43</v>
      </c>
      <c r="B64" s="888" t="s">
        <v>627</v>
      </c>
      <c r="D64" s="887">
        <f>+E42-D62</f>
        <v>29587874.43</v>
      </c>
      <c r="I64" s="886"/>
      <c r="K64" s="5"/>
    </row>
    <row r="65" spans="1:7" customFormat="1"/>
    <row r="66" spans="1:7" customFormat="1">
      <c r="A66" s="885"/>
      <c r="B66" s="270"/>
      <c r="C66" s="271"/>
      <c r="D66" s="272"/>
      <c r="E66" s="67"/>
      <c r="F66" s="67"/>
      <c r="G66" s="81"/>
    </row>
    <row r="67" spans="1:7" customFormat="1" ht="25.5">
      <c r="A67" s="936" t="s">
        <v>3</v>
      </c>
      <c r="B67" s="270"/>
      <c r="C67" s="933" t="s">
        <v>2</v>
      </c>
      <c r="D67" s="934" t="str">
        <f>"Balance @ December 31, "&amp;TCOS!L4&amp;""</f>
        <v>Balance @ December 31, 2022</v>
      </c>
      <c r="E67" s="935" t="str">
        <f>"Balance @ December 31, "&amp;TCOS!L4-1&amp;""</f>
        <v>Balance @ December 31, 2021</v>
      </c>
      <c r="F67" s="935" t="str">
        <f>"Average Balance for "&amp;TCOS!L4&amp;""</f>
        <v>Average Balance for 2022</v>
      </c>
      <c r="G67" s="81"/>
    </row>
    <row r="68" spans="1:7" customFormat="1">
      <c r="A68" s="86"/>
      <c r="B68" s="901" t="s">
        <v>638</v>
      </c>
      <c r="C68" s="901" t="s">
        <v>637</v>
      </c>
      <c r="D68" s="901" t="s">
        <v>636</v>
      </c>
      <c r="E68" s="901" t="s">
        <v>635</v>
      </c>
      <c r="F68" s="901" t="s">
        <v>634</v>
      </c>
      <c r="G68" s="81"/>
    </row>
    <row r="69" spans="1:7" customFormat="1">
      <c r="A69" s="273">
        <f>+A64+1</f>
        <v>44</v>
      </c>
      <c r="B69" s="86" t="s">
        <v>3</v>
      </c>
      <c r="C69" s="276" t="s">
        <v>374</v>
      </c>
      <c r="D69" s="831">
        <v>0</v>
      </c>
      <c r="E69" s="831">
        <v>0</v>
      </c>
      <c r="F69" s="128">
        <f>IF(E69="",0,AVERAGE(D69:E69))</f>
        <v>0</v>
      </c>
    </row>
    <row r="70" spans="1:7" customFormat="1">
      <c r="A70" s="269"/>
      <c r="B70" s="277"/>
      <c r="C70" s="277"/>
      <c r="F70" s="81"/>
    </row>
    <row r="71" spans="1:7" customFormat="1">
      <c r="A71" s="268">
        <f>+A69+1</f>
        <v>45</v>
      </c>
      <c r="B71" s="86" t="s">
        <v>821</v>
      </c>
      <c r="C71" s="294" t="s">
        <v>67</v>
      </c>
      <c r="D71" s="831">
        <v>0</v>
      </c>
      <c r="E71" s="831">
        <v>0</v>
      </c>
      <c r="F71" s="128">
        <f>IF(E71="",0,AVERAGE(D71:E71))</f>
        <v>0</v>
      </c>
    </row>
    <row r="72" spans="1:7" customFormat="1">
      <c r="A72" s="216"/>
      <c r="B72" s="216"/>
      <c r="C72" s="216"/>
      <c r="D72" s="216"/>
    </row>
    <row r="73" spans="1:7" customFormat="1">
      <c r="A73" s="86" t="s">
        <v>236</v>
      </c>
      <c r="B73" s="216"/>
      <c r="C73" s="216"/>
      <c r="D73" s="216"/>
    </row>
    <row r="74" spans="1:7" customFormat="1">
      <c r="A74" s="274"/>
      <c r="B74" s="275" t="s">
        <v>360</v>
      </c>
      <c r="C74" s="275"/>
      <c r="D74" s="75"/>
      <c r="E74" s="75"/>
      <c r="F74" s="75"/>
    </row>
    <row r="75" spans="1:7" customFormat="1">
      <c r="A75" s="273">
        <f>+A71+1</f>
        <v>46</v>
      </c>
      <c r="B75" s="832"/>
      <c r="C75" s="832"/>
      <c r="D75" s="831"/>
      <c r="E75" s="831"/>
      <c r="F75" s="128">
        <f>IF(E75="",0,AVERAGE(D75:E75))</f>
        <v>0</v>
      </c>
    </row>
    <row r="76" spans="1:7" customFormat="1">
      <c r="A76" s="273">
        <f>+A75+1</f>
        <v>47</v>
      </c>
      <c r="B76" s="832"/>
      <c r="C76" s="832"/>
      <c r="D76" s="831"/>
      <c r="E76" s="831"/>
      <c r="F76" s="128">
        <f>IF(E76="",0,AVERAGE(D76:E76))</f>
        <v>0</v>
      </c>
    </row>
    <row r="77" spans="1:7" customFormat="1">
      <c r="A77" s="273">
        <f>+A76+1</f>
        <v>48</v>
      </c>
      <c r="B77" s="832"/>
      <c r="C77" s="832"/>
      <c r="D77" s="831"/>
      <c r="E77" s="831"/>
      <c r="F77" s="128">
        <f>IF(E77="",0,AVERAGE(D77:E77))</f>
        <v>0</v>
      </c>
    </row>
    <row r="78" spans="1:7" customFormat="1">
      <c r="A78" s="273">
        <f>+A77+1</f>
        <v>49</v>
      </c>
      <c r="B78" s="832"/>
      <c r="C78" s="832"/>
      <c r="D78" s="831"/>
      <c r="E78" s="831"/>
      <c r="F78" s="128">
        <f>IF(E78="",0,AVERAGE(D78:E78))</f>
        <v>0</v>
      </c>
    </row>
    <row r="79" spans="1:7" customFormat="1">
      <c r="A79" s="273">
        <f>+A78+1</f>
        <v>50</v>
      </c>
      <c r="B79" s="832"/>
      <c r="C79" s="832"/>
      <c r="D79" s="833"/>
      <c r="E79" s="833"/>
      <c r="F79" s="941">
        <f>IF(E79="",0,AVERAGE(D79:E79))</f>
        <v>0</v>
      </c>
    </row>
    <row r="80" spans="1:7" customFormat="1">
      <c r="A80" s="273">
        <f>+A79+1</f>
        <v>51</v>
      </c>
      <c r="B80" s="275" t="s">
        <v>496</v>
      </c>
      <c r="C80" s="275"/>
      <c r="D80" s="170">
        <f>SUM(D75:D79)</f>
        <v>0</v>
      </c>
      <c r="E80" s="170">
        <f>SUM(E75:E79)</f>
        <v>0</v>
      </c>
      <c r="F80" s="170">
        <f>SUM(F75:F79)</f>
        <v>0</v>
      </c>
    </row>
    <row r="81" spans="1:7" customFormat="1">
      <c r="A81" s="273"/>
      <c r="B81" s="275"/>
      <c r="C81" s="275"/>
      <c r="D81" s="170"/>
      <c r="E81" s="170"/>
      <c r="F81" s="170"/>
    </row>
    <row r="82" spans="1:7" customFormat="1" ht="18">
      <c r="A82" s="86" t="s">
        <v>750</v>
      </c>
      <c r="B82" s="882"/>
      <c r="C82" s="882"/>
      <c r="D82" s="882"/>
      <c r="E82" s="75"/>
      <c r="F82" s="75"/>
      <c r="G82" s="75"/>
    </row>
    <row r="83" spans="1:7" customFormat="1">
      <c r="A83" s="72"/>
      <c r="B83" s="222"/>
      <c r="C83" s="225"/>
      <c r="D83" s="7"/>
      <c r="E83" s="75"/>
      <c r="F83" s="75"/>
      <c r="G83" s="75"/>
    </row>
    <row r="84" spans="1:7" customFormat="1">
      <c r="A84" s="72">
        <f>+A80+1</f>
        <v>52</v>
      </c>
      <c r="B84" s="12" t="s">
        <v>167</v>
      </c>
      <c r="C84" s="12" t="s">
        <v>306</v>
      </c>
      <c r="D84" s="937"/>
      <c r="E84" s="20"/>
      <c r="F84" s="12"/>
      <c r="G84" s="20"/>
    </row>
    <row r="85" spans="1:7" customFormat="1" ht="14.25">
      <c r="A85" s="938" t="s">
        <v>743</v>
      </c>
      <c r="B85" s="1223" t="s">
        <v>863</v>
      </c>
      <c r="C85" s="1298" t="s">
        <v>1025</v>
      </c>
      <c r="D85" s="831">
        <v>16396.03</v>
      </c>
      <c r="E85" s="831">
        <v>14454.6</v>
      </c>
      <c r="F85" s="942">
        <f>IF(E85="",0,AVERAGE(D85:E85))</f>
        <v>15425.314999999999</v>
      </c>
      <c r="G85" s="20"/>
    </row>
    <row r="86" spans="1:7" customFormat="1" ht="14.25">
      <c r="A86" s="939" t="s">
        <v>744</v>
      </c>
      <c r="B86" s="1223" t="s">
        <v>1146</v>
      </c>
      <c r="C86" s="1298" t="s">
        <v>1148</v>
      </c>
      <c r="D86" s="831">
        <v>19557.23</v>
      </c>
      <c r="E86" s="831">
        <v>39130.230000000003</v>
      </c>
      <c r="F86" s="942">
        <f>IF(E86="",0,AVERAGE(D86:E86))</f>
        <v>29343.730000000003</v>
      </c>
      <c r="G86" s="20"/>
    </row>
    <row r="87" spans="1:7" customFormat="1" ht="14.25">
      <c r="A87" s="1407" t="s">
        <v>1145</v>
      </c>
      <c r="B87" s="1223" t="s">
        <v>1147</v>
      </c>
      <c r="C87" s="1091" t="s">
        <v>1149</v>
      </c>
      <c r="D87" s="833">
        <v>77908.400000000009</v>
      </c>
      <c r="E87" s="833">
        <v>308382.3</v>
      </c>
      <c r="F87" s="943">
        <f>IF(E87="",0,AVERAGE(D87:E87))</f>
        <v>193145.35</v>
      </c>
      <c r="G87" s="20"/>
    </row>
    <row r="88" spans="1:7" customFormat="1" ht="18" customHeight="1">
      <c r="A88" s="940">
        <v>54</v>
      </c>
      <c r="B88" s="20"/>
      <c r="C88" s="4" t="s">
        <v>118</v>
      </c>
      <c r="D88" s="887">
        <f>SUM(D85:D87)</f>
        <v>113861.66</v>
      </c>
      <c r="E88" s="887">
        <f>SUM(E85:E87)</f>
        <v>361967.13</v>
      </c>
      <c r="F88" s="887">
        <f>SUM(F85:F87)</f>
        <v>237914.39500000002</v>
      </c>
      <c r="G88" s="20"/>
    </row>
    <row r="89" spans="1:7" customFormat="1">
      <c r="A89" s="273"/>
      <c r="B89" s="275"/>
      <c r="C89" s="275"/>
      <c r="D89" s="275"/>
      <c r="G89" s="20"/>
    </row>
    <row r="90" spans="1:7">
      <c r="A90" s="932" t="s">
        <v>669</v>
      </c>
      <c r="B90" s="275"/>
      <c r="C90" s="275"/>
      <c r="D90" s="275"/>
      <c r="G90" s="937"/>
    </row>
    <row r="91" spans="1:7">
      <c r="A91" s="932" t="s">
        <v>668</v>
      </c>
      <c r="B91" s="275"/>
      <c r="C91" s="275"/>
      <c r="D91" s="275"/>
    </row>
    <row r="92" spans="1:7">
      <c r="A92"/>
      <c r="B92"/>
      <c r="C92"/>
      <c r="D92"/>
    </row>
    <row r="93" spans="1:7">
      <c r="A93"/>
      <c r="B93"/>
      <c r="C93"/>
      <c r="D93"/>
    </row>
  </sheetData>
  <mergeCells count="6">
    <mergeCell ref="A1:G1"/>
    <mergeCell ref="A2:G2"/>
    <mergeCell ref="A3:G3"/>
    <mergeCell ref="C6:K6"/>
    <mergeCell ref="C25:K25"/>
    <mergeCell ref="A4:G4"/>
  </mergeCells>
  <pageMargins left="0.7" right="0.7" top="0.75" bottom="0.75" header="0.3" footer="0.3"/>
  <pageSetup scale="47" fitToHeight="0" orientation="landscape" cellComments="asDisplayed" r:id="rId1"/>
  <headerFooter>
    <oddHeader>&amp;RPage  &amp;P of &amp;N</oddHeader>
  </headerFooter>
  <rowBreaks count="1" manualBreakCount="1">
    <brk id="4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1">
    <pageSetUpPr fitToPage="1"/>
  </sheetPr>
  <dimension ref="A1:L164"/>
  <sheetViews>
    <sheetView view="pageBreakPreview" topLeftCell="A19" zoomScale="85" zoomScaleNormal="90" zoomScaleSheetLayoutView="85" zoomScalePageLayoutView="85" workbookViewId="0">
      <selection activeCell="G54" sqref="G54"/>
    </sheetView>
  </sheetViews>
  <sheetFormatPr defaultColWidth="11.42578125" defaultRowHeight="12.75"/>
  <cols>
    <col min="1" max="1" width="10.42578125" style="964" customWidth="1"/>
    <col min="2" max="2" width="52.42578125" style="944" customWidth="1"/>
    <col min="3" max="7" width="20.42578125" style="944" customWidth="1"/>
    <col min="8" max="8" width="23" style="944" customWidth="1"/>
    <col min="9" max="11" width="20.42578125" style="944" customWidth="1"/>
    <col min="12" max="12" width="20" style="944" customWidth="1"/>
    <col min="13" max="14" width="15.140625" style="944" customWidth="1"/>
    <col min="15" max="16384" width="11.42578125" style="944"/>
  </cols>
  <sheetData>
    <row r="1" spans="1:12" ht="15">
      <c r="A1" s="1553" t="s">
        <v>387</v>
      </c>
      <c r="B1" s="1553"/>
      <c r="C1" s="1553"/>
      <c r="D1" s="1553"/>
      <c r="E1" s="1553"/>
      <c r="F1" s="1553"/>
      <c r="G1" s="1553"/>
      <c r="H1" s="889"/>
    </row>
    <row r="2" spans="1:12" ht="15">
      <c r="A2" s="1554" t="str">
        <f>"Cost of Service Formula Rate Using Actual/Projected FF1 Balances"</f>
        <v>Cost of Service Formula Rate Using Actual/Projected FF1 Balances</v>
      </c>
      <c r="B2" s="1554"/>
      <c r="C2" s="1554"/>
      <c r="D2" s="1554"/>
      <c r="E2" s="1554"/>
      <c r="F2" s="1554"/>
      <c r="G2" s="1554"/>
      <c r="H2" s="945"/>
      <c r="I2" s="945"/>
      <c r="J2" s="945"/>
      <c r="L2" s="946"/>
    </row>
    <row r="3" spans="1:12" ht="15">
      <c r="A3" s="1554" t="s">
        <v>670</v>
      </c>
      <c r="B3" s="1554"/>
      <c r="C3" s="1554"/>
      <c r="D3" s="1554"/>
      <c r="E3" s="1554"/>
      <c r="F3" s="1554"/>
      <c r="G3" s="1554"/>
      <c r="H3" s="945"/>
      <c r="I3" s="945"/>
      <c r="J3" s="945"/>
    </row>
    <row r="4" spans="1:12" ht="15">
      <c r="A4" s="1561" t="str">
        <f>TCOS!F9</f>
        <v>WHEELING POWER COMPANY</v>
      </c>
      <c r="B4" s="1561"/>
      <c r="C4" s="1561"/>
      <c r="D4" s="1561"/>
      <c r="E4" s="1561"/>
      <c r="F4" s="1561"/>
      <c r="G4" s="1561"/>
      <c r="H4" s="945"/>
      <c r="I4" s="945"/>
      <c r="J4" s="945"/>
    </row>
    <row r="5" spans="1:12">
      <c r="A5" s="945"/>
      <c r="B5" s="947"/>
      <c r="C5" s="947"/>
      <c r="D5" s="947"/>
      <c r="E5" s="948"/>
      <c r="F5" s="949"/>
      <c r="H5"/>
      <c r="I5"/>
      <c r="J5"/>
      <c r="K5"/>
      <c r="L5"/>
    </row>
    <row r="6" spans="1:12" ht="12.75" customHeight="1">
      <c r="A6" s="889"/>
      <c r="B6" s="927"/>
      <c r="C6" s="1555" t="s">
        <v>6</v>
      </c>
      <c r="D6" s="1556"/>
      <c r="E6" s="1556"/>
      <c r="F6" s="1556"/>
      <c r="G6" s="1557"/>
      <c r="H6" s="5"/>
      <c r="I6"/>
      <c r="J6"/>
      <c r="K6"/>
      <c r="L6"/>
    </row>
    <row r="7" spans="1:12" s="951" customFormat="1" ht="38.25">
      <c r="A7" s="926" t="s">
        <v>644</v>
      </c>
      <c r="B7" s="925" t="s">
        <v>643</v>
      </c>
      <c r="C7" s="906" t="s">
        <v>671</v>
      </c>
      <c r="D7" s="905" t="s">
        <v>368</v>
      </c>
      <c r="E7" s="905" t="s">
        <v>672</v>
      </c>
      <c r="F7" s="905" t="s">
        <v>673</v>
      </c>
      <c r="G7" s="950" t="s">
        <v>6</v>
      </c>
      <c r="H7" s="5"/>
      <c r="I7"/>
      <c r="J7"/>
      <c r="K7"/>
      <c r="L7"/>
    </row>
    <row r="8" spans="1:12" s="953" customFormat="1">
      <c r="A8" s="896"/>
      <c r="B8" s="902" t="s">
        <v>638</v>
      </c>
      <c r="C8" s="903" t="s">
        <v>637</v>
      </c>
      <c r="D8" s="901" t="s">
        <v>636</v>
      </c>
      <c r="E8" s="901" t="s">
        <v>635</v>
      </c>
      <c r="F8" s="901" t="s">
        <v>634</v>
      </c>
      <c r="G8" s="952" t="s">
        <v>674</v>
      </c>
      <c r="H8" s="5"/>
      <c r="I8"/>
      <c r="J8"/>
      <c r="K8"/>
      <c r="L8"/>
    </row>
    <row r="9" spans="1:12" s="953" customFormat="1" ht="44.25" customHeight="1">
      <c r="A9" s="896"/>
      <c r="B9" s="902" t="s">
        <v>633</v>
      </c>
      <c r="C9" s="954" t="s">
        <v>675</v>
      </c>
      <c r="D9" s="922" t="s">
        <v>676</v>
      </c>
      <c r="E9" s="922" t="s">
        <v>677</v>
      </c>
      <c r="F9" s="922" t="s">
        <v>678</v>
      </c>
      <c r="G9" s="955"/>
      <c r="H9" s="5"/>
      <c r="I9"/>
      <c r="J9"/>
      <c r="K9"/>
      <c r="L9"/>
    </row>
    <row r="10" spans="1:12">
      <c r="A10" s="896">
        <v>1</v>
      </c>
      <c r="B10" s="920" t="s">
        <v>631</v>
      </c>
      <c r="C10" s="956">
        <v>411042164.91399974</v>
      </c>
      <c r="D10" s="956">
        <v>0</v>
      </c>
      <c r="E10" s="956">
        <v>0</v>
      </c>
      <c r="F10" s="956">
        <v>971745.82000000007</v>
      </c>
      <c r="G10" s="957">
        <f t="shared" ref="G10:G22" si="0">+C10-D10-E10-F10</f>
        <v>410070419.09399974</v>
      </c>
      <c r="H10" s="5"/>
      <c r="I10"/>
      <c r="J10"/>
      <c r="K10"/>
      <c r="L10"/>
    </row>
    <row r="11" spans="1:12">
      <c r="A11" s="896">
        <f t="shared" ref="A11:A23" si="1">+A10+1</f>
        <v>2</v>
      </c>
      <c r="B11" s="920" t="s">
        <v>185</v>
      </c>
      <c r="C11" s="956">
        <v>413987502.15700001</v>
      </c>
      <c r="D11" s="956">
        <v>0</v>
      </c>
      <c r="E11" s="956">
        <v>0</v>
      </c>
      <c r="F11" s="956">
        <v>971745.82000000007</v>
      </c>
      <c r="G11" s="957">
        <f t="shared" si="0"/>
        <v>413015756.33700001</v>
      </c>
      <c r="H11" s="5"/>
      <c r="I11"/>
      <c r="J11"/>
      <c r="K11"/>
      <c r="L11"/>
    </row>
    <row r="12" spans="1:12">
      <c r="A12" s="896">
        <f t="shared" si="1"/>
        <v>3</v>
      </c>
      <c r="B12" s="919" t="s">
        <v>558</v>
      </c>
      <c r="C12" s="956">
        <v>409262360.45399994</v>
      </c>
      <c r="D12" s="956">
        <v>0</v>
      </c>
      <c r="E12" s="956">
        <v>0</v>
      </c>
      <c r="F12" s="956">
        <v>971745.82000000007</v>
      </c>
      <c r="G12" s="957">
        <f t="shared" si="0"/>
        <v>408290614.63399994</v>
      </c>
      <c r="H12" s="5"/>
      <c r="I12"/>
      <c r="J12"/>
      <c r="K12"/>
      <c r="L12"/>
    </row>
    <row r="13" spans="1:12">
      <c r="A13" s="896">
        <f t="shared" si="1"/>
        <v>4</v>
      </c>
      <c r="B13" s="919" t="s">
        <v>630</v>
      </c>
      <c r="C13" s="956">
        <v>412521166.85199994</v>
      </c>
      <c r="D13" s="956">
        <v>0</v>
      </c>
      <c r="E13" s="956">
        <v>0</v>
      </c>
      <c r="F13" s="956">
        <v>918190.73</v>
      </c>
      <c r="G13" s="957">
        <f t="shared" si="0"/>
        <v>411602976.12199992</v>
      </c>
      <c r="H13" s="5"/>
      <c r="I13"/>
      <c r="J13"/>
      <c r="K13"/>
      <c r="L13"/>
    </row>
    <row r="14" spans="1:12">
      <c r="A14" s="896">
        <f t="shared" si="1"/>
        <v>5</v>
      </c>
      <c r="B14" s="919" t="s">
        <v>187</v>
      </c>
      <c r="C14" s="956">
        <v>415961154.10100001</v>
      </c>
      <c r="D14" s="956">
        <v>0</v>
      </c>
      <c r="E14" s="956">
        <v>0</v>
      </c>
      <c r="F14" s="956">
        <v>918190.73</v>
      </c>
      <c r="G14" s="957">
        <f t="shared" si="0"/>
        <v>415042963.37099999</v>
      </c>
      <c r="H14" s="5"/>
      <c r="I14"/>
      <c r="J14"/>
      <c r="K14"/>
      <c r="L14"/>
    </row>
    <row r="15" spans="1:12">
      <c r="A15" s="896">
        <f t="shared" si="1"/>
        <v>6</v>
      </c>
      <c r="B15" s="919" t="s">
        <v>188</v>
      </c>
      <c r="C15" s="956">
        <v>418392764.9059999</v>
      </c>
      <c r="D15" s="956">
        <v>0</v>
      </c>
      <c r="E15" s="956">
        <v>0</v>
      </c>
      <c r="F15" s="956">
        <v>918190.73</v>
      </c>
      <c r="G15" s="957">
        <f t="shared" si="0"/>
        <v>417474574.17599988</v>
      </c>
      <c r="H15" s="5"/>
      <c r="I15"/>
      <c r="J15"/>
      <c r="K15"/>
      <c r="L15"/>
    </row>
    <row r="16" spans="1:12">
      <c r="A16" s="896">
        <f t="shared" si="1"/>
        <v>7</v>
      </c>
      <c r="B16" s="919" t="s">
        <v>382</v>
      </c>
      <c r="C16" s="956">
        <v>425145674.55599999</v>
      </c>
      <c r="D16" s="956">
        <v>0</v>
      </c>
      <c r="E16" s="956">
        <v>0</v>
      </c>
      <c r="F16" s="956">
        <v>864635.64</v>
      </c>
      <c r="G16" s="957">
        <f t="shared" si="0"/>
        <v>424281038.91600001</v>
      </c>
      <c r="H16" s="5"/>
      <c r="I16"/>
      <c r="J16"/>
      <c r="K16"/>
      <c r="L16"/>
    </row>
    <row r="17" spans="1:12">
      <c r="A17" s="896">
        <f t="shared" si="1"/>
        <v>8</v>
      </c>
      <c r="B17" s="919" t="s">
        <v>189</v>
      </c>
      <c r="C17" s="956">
        <v>433206644.58799994</v>
      </c>
      <c r="D17" s="956">
        <v>0</v>
      </c>
      <c r="E17" s="956">
        <v>0</v>
      </c>
      <c r="F17" s="956">
        <v>864635.64</v>
      </c>
      <c r="G17" s="957">
        <f t="shared" si="0"/>
        <v>432342008.94799995</v>
      </c>
      <c r="H17" s="5"/>
      <c r="I17"/>
      <c r="J17"/>
      <c r="K17"/>
      <c r="L17"/>
    </row>
    <row r="18" spans="1:12">
      <c r="A18" s="896">
        <f t="shared" si="1"/>
        <v>9</v>
      </c>
      <c r="B18" s="919" t="s">
        <v>629</v>
      </c>
      <c r="C18" s="956">
        <v>436147675.80100006</v>
      </c>
      <c r="D18" s="956">
        <v>0</v>
      </c>
      <c r="E18" s="956">
        <v>0</v>
      </c>
      <c r="F18" s="956">
        <v>864635.64</v>
      </c>
      <c r="G18" s="957">
        <f t="shared" si="0"/>
        <v>435283040.16100007</v>
      </c>
      <c r="H18" s="5"/>
      <c r="I18"/>
      <c r="J18"/>
      <c r="K18"/>
      <c r="L18"/>
    </row>
    <row r="19" spans="1:12">
      <c r="A19" s="896">
        <f t="shared" si="1"/>
        <v>10</v>
      </c>
      <c r="B19" s="919" t="s">
        <v>192</v>
      </c>
      <c r="C19" s="956">
        <v>441961417.4550001</v>
      </c>
      <c r="D19" s="956">
        <v>0</v>
      </c>
      <c r="E19" s="956">
        <v>0</v>
      </c>
      <c r="F19" s="956">
        <v>3248267.79</v>
      </c>
      <c r="G19" s="957">
        <f t="shared" si="0"/>
        <v>438713149.66500008</v>
      </c>
      <c r="H19" s="5"/>
      <c r="I19"/>
      <c r="J19"/>
      <c r="K19"/>
      <c r="L19"/>
    </row>
    <row r="20" spans="1:12">
      <c r="A20" s="896">
        <f t="shared" si="1"/>
        <v>11</v>
      </c>
      <c r="B20" s="919" t="s">
        <v>559</v>
      </c>
      <c r="C20" s="956">
        <v>445736491.02100015</v>
      </c>
      <c r="D20" s="956">
        <v>0</v>
      </c>
      <c r="E20" s="956">
        <v>0</v>
      </c>
      <c r="F20" s="956">
        <v>3248267.79</v>
      </c>
      <c r="G20" s="957">
        <f t="shared" si="0"/>
        <v>442488223.23100013</v>
      </c>
      <c r="H20" s="5"/>
      <c r="I20"/>
      <c r="J20"/>
      <c r="K20"/>
      <c r="L20"/>
    </row>
    <row r="21" spans="1:12">
      <c r="A21" s="896">
        <f t="shared" si="1"/>
        <v>12</v>
      </c>
      <c r="B21" s="919" t="s">
        <v>560</v>
      </c>
      <c r="C21" s="956">
        <v>451311719.97100013</v>
      </c>
      <c r="D21" s="956">
        <v>0</v>
      </c>
      <c r="E21" s="956">
        <v>0</v>
      </c>
      <c r="F21" s="956">
        <v>3248267.79</v>
      </c>
      <c r="G21" s="957">
        <f t="shared" si="0"/>
        <v>448063452.18100011</v>
      </c>
      <c r="H21" s="5"/>
      <c r="I21"/>
      <c r="J21"/>
      <c r="K21"/>
      <c r="L21"/>
    </row>
    <row r="22" spans="1:12">
      <c r="A22" s="895">
        <f t="shared" si="1"/>
        <v>13</v>
      </c>
      <c r="B22" s="918" t="s">
        <v>628</v>
      </c>
      <c r="C22" s="956">
        <v>485014362.54100001</v>
      </c>
      <c r="D22" s="956">
        <v>0</v>
      </c>
      <c r="E22" s="956">
        <v>0</v>
      </c>
      <c r="F22" s="956">
        <v>338214.01</v>
      </c>
      <c r="G22" s="957">
        <f t="shared" si="0"/>
        <v>484676148.53100002</v>
      </c>
      <c r="H22" s="5"/>
      <c r="I22"/>
      <c r="J22"/>
      <c r="K22"/>
      <c r="L22"/>
    </row>
    <row r="23" spans="1:12" ht="13.5" thickBot="1">
      <c r="A23" s="917">
        <f t="shared" si="1"/>
        <v>14</v>
      </c>
      <c r="B23" s="916" t="s">
        <v>859</v>
      </c>
      <c r="C23" s="892">
        <f>SUM(C10:C22)/13</f>
        <v>430745469.1782307</v>
      </c>
      <c r="D23" s="891">
        <f>SUM(D10:D22)/13</f>
        <v>0</v>
      </c>
      <c r="E23" s="891">
        <f>SUM(E10:E22)/13</f>
        <v>0</v>
      </c>
      <c r="F23" s="891">
        <f>SUM(F10:F22)/13</f>
        <v>1411287.2269230769</v>
      </c>
      <c r="G23" s="958">
        <f>SUM(G10:G22)/13</f>
        <v>429334181.95130765</v>
      </c>
      <c r="H23" s="5"/>
      <c r="I23"/>
      <c r="J23"/>
      <c r="K23"/>
      <c r="L23"/>
    </row>
    <row r="24" spans="1:12" ht="13.5" thickTop="1">
      <c r="A24" s="889"/>
      <c r="B24" s="888"/>
      <c r="C24" s="913"/>
      <c r="D24" s="886"/>
      <c r="E24" s="886"/>
      <c r="F24" s="886"/>
      <c r="G24" s="913"/>
      <c r="H24" s="913"/>
      <c r="I24"/>
      <c r="J24"/>
      <c r="K24"/>
      <c r="L24"/>
    </row>
    <row r="25" spans="1:12" ht="12.75" customHeight="1">
      <c r="A25" s="889"/>
      <c r="B25" s="927"/>
      <c r="C25" s="1623" t="s">
        <v>679</v>
      </c>
      <c r="D25" s="1624"/>
      <c r="E25" s="1624"/>
      <c r="F25" s="1624"/>
      <c r="G25" s="1624"/>
      <c r="H25" s="1625"/>
      <c r="I25"/>
      <c r="J25"/>
      <c r="K25"/>
      <c r="L25"/>
    </row>
    <row r="26" spans="1:12" s="951" customFormat="1" ht="38.25">
      <c r="A26" s="926" t="s">
        <v>644</v>
      </c>
      <c r="B26" s="925" t="s">
        <v>643</v>
      </c>
      <c r="C26" s="906" t="s">
        <v>691</v>
      </c>
      <c r="D26" s="905" t="s">
        <v>690</v>
      </c>
      <c r="E26" s="905" t="s">
        <v>689</v>
      </c>
      <c r="F26" s="905" t="s">
        <v>688</v>
      </c>
      <c r="G26" s="905" t="s">
        <v>680</v>
      </c>
      <c r="H26" s="950" t="s">
        <v>624</v>
      </c>
      <c r="I26"/>
      <c r="J26"/>
      <c r="K26"/>
      <c r="L26"/>
    </row>
    <row r="27" spans="1:12" s="953" customFormat="1">
      <c r="A27" s="896"/>
      <c r="B27" s="902" t="s">
        <v>638</v>
      </c>
      <c r="C27" s="903" t="s">
        <v>637</v>
      </c>
      <c r="D27" s="901" t="s">
        <v>636</v>
      </c>
      <c r="E27" s="901" t="s">
        <v>635</v>
      </c>
      <c r="F27" s="901" t="s">
        <v>634</v>
      </c>
      <c r="G27" s="901" t="s">
        <v>656</v>
      </c>
      <c r="H27" s="952" t="s">
        <v>681</v>
      </c>
      <c r="I27"/>
      <c r="J27"/>
      <c r="K27"/>
      <c r="L27"/>
    </row>
    <row r="28" spans="1:12" s="953" customFormat="1" ht="44.25" customHeight="1">
      <c r="A28" s="896"/>
      <c r="B28" s="902" t="s">
        <v>633</v>
      </c>
      <c r="C28" s="954" t="s">
        <v>682</v>
      </c>
      <c r="D28" s="922" t="s">
        <v>683</v>
      </c>
      <c r="E28" s="922" t="s">
        <v>684</v>
      </c>
      <c r="F28" s="922" t="s">
        <v>685</v>
      </c>
      <c r="G28" s="922" t="s">
        <v>686</v>
      </c>
      <c r="H28" s="959"/>
      <c r="I28"/>
      <c r="J28"/>
      <c r="K28"/>
      <c r="L28"/>
    </row>
    <row r="29" spans="1:12">
      <c r="A29" s="896">
        <f>+A23+1</f>
        <v>15</v>
      </c>
      <c r="B29" s="920" t="s">
        <v>631</v>
      </c>
      <c r="C29" s="956">
        <v>0</v>
      </c>
      <c r="D29" s="956">
        <v>0</v>
      </c>
      <c r="E29" s="956">
        <v>0</v>
      </c>
      <c r="F29" s="956">
        <v>350000000</v>
      </c>
      <c r="G29" s="956">
        <v>0</v>
      </c>
      <c r="H29" s="957">
        <f t="shared" ref="H29:H41" si="2">+C29-D29+E29+F29-G29</f>
        <v>350000000</v>
      </c>
      <c r="I29"/>
      <c r="J29"/>
      <c r="K29"/>
      <c r="L29"/>
    </row>
    <row r="30" spans="1:12">
      <c r="A30" s="896">
        <f t="shared" ref="A30:A42" si="3">+A29+1</f>
        <v>16</v>
      </c>
      <c r="B30" s="920" t="s">
        <v>185</v>
      </c>
      <c r="C30" s="956">
        <v>0</v>
      </c>
      <c r="D30" s="956">
        <v>0</v>
      </c>
      <c r="E30" s="956">
        <v>0</v>
      </c>
      <c r="F30" s="956">
        <v>350000000</v>
      </c>
      <c r="G30" s="956">
        <v>0</v>
      </c>
      <c r="H30" s="957">
        <f t="shared" si="2"/>
        <v>350000000</v>
      </c>
      <c r="I30"/>
      <c r="J30"/>
      <c r="K30"/>
      <c r="L30"/>
    </row>
    <row r="31" spans="1:12">
      <c r="A31" s="896">
        <f t="shared" si="3"/>
        <v>17</v>
      </c>
      <c r="B31" s="919" t="s">
        <v>558</v>
      </c>
      <c r="C31" s="956">
        <v>0</v>
      </c>
      <c r="D31" s="956">
        <v>0</v>
      </c>
      <c r="E31" s="956">
        <v>0</v>
      </c>
      <c r="F31" s="956">
        <v>350000000</v>
      </c>
      <c r="G31" s="956">
        <v>0</v>
      </c>
      <c r="H31" s="957">
        <f t="shared" si="2"/>
        <v>350000000</v>
      </c>
      <c r="I31"/>
      <c r="J31"/>
      <c r="K31"/>
      <c r="L31"/>
    </row>
    <row r="32" spans="1:12">
      <c r="A32" s="896">
        <f t="shared" si="3"/>
        <v>18</v>
      </c>
      <c r="B32" s="919" t="s">
        <v>630</v>
      </c>
      <c r="C32" s="956">
        <v>0</v>
      </c>
      <c r="D32" s="956">
        <v>0</v>
      </c>
      <c r="E32" s="956">
        <v>0</v>
      </c>
      <c r="F32" s="956">
        <v>350000000</v>
      </c>
      <c r="G32" s="956">
        <v>0</v>
      </c>
      <c r="H32" s="957">
        <f t="shared" si="2"/>
        <v>350000000</v>
      </c>
      <c r="I32"/>
      <c r="J32"/>
      <c r="K32"/>
      <c r="L32"/>
    </row>
    <row r="33" spans="1:12">
      <c r="A33" s="896">
        <f t="shared" si="3"/>
        <v>19</v>
      </c>
      <c r="B33" s="919" t="s">
        <v>187</v>
      </c>
      <c r="C33" s="956">
        <v>0</v>
      </c>
      <c r="D33" s="956">
        <v>0</v>
      </c>
      <c r="E33" s="956">
        <v>0</v>
      </c>
      <c r="F33" s="956">
        <v>350000000</v>
      </c>
      <c r="G33" s="956">
        <v>0</v>
      </c>
      <c r="H33" s="957">
        <f t="shared" si="2"/>
        <v>350000000</v>
      </c>
      <c r="I33"/>
      <c r="J33"/>
      <c r="K33"/>
      <c r="L33"/>
    </row>
    <row r="34" spans="1:12">
      <c r="A34" s="896">
        <f t="shared" si="3"/>
        <v>20</v>
      </c>
      <c r="B34" s="919" t="s">
        <v>188</v>
      </c>
      <c r="C34" s="956">
        <v>0</v>
      </c>
      <c r="D34" s="956">
        <v>0</v>
      </c>
      <c r="E34" s="956">
        <v>0</v>
      </c>
      <c r="F34" s="956">
        <v>515000000</v>
      </c>
      <c r="G34" s="956">
        <v>0</v>
      </c>
      <c r="H34" s="957">
        <f t="shared" si="2"/>
        <v>515000000</v>
      </c>
      <c r="I34"/>
      <c r="J34"/>
      <c r="K34"/>
      <c r="L34"/>
    </row>
    <row r="35" spans="1:12">
      <c r="A35" s="896">
        <f t="shared" si="3"/>
        <v>21</v>
      </c>
      <c r="B35" s="919" t="s">
        <v>382</v>
      </c>
      <c r="C35" s="956">
        <v>0</v>
      </c>
      <c r="D35" s="956">
        <v>0</v>
      </c>
      <c r="E35" s="956">
        <v>0</v>
      </c>
      <c r="F35" s="956">
        <v>402000000</v>
      </c>
      <c r="G35" s="956">
        <v>0</v>
      </c>
      <c r="H35" s="957">
        <f t="shared" si="2"/>
        <v>402000000</v>
      </c>
      <c r="I35"/>
      <c r="J35"/>
      <c r="K35"/>
      <c r="L35"/>
    </row>
    <row r="36" spans="1:12">
      <c r="A36" s="896">
        <f t="shared" si="3"/>
        <v>22</v>
      </c>
      <c r="B36" s="919" t="s">
        <v>189</v>
      </c>
      <c r="C36" s="956">
        <v>0</v>
      </c>
      <c r="D36" s="956">
        <v>0</v>
      </c>
      <c r="E36" s="956">
        <v>0</v>
      </c>
      <c r="F36" s="956">
        <v>402000000</v>
      </c>
      <c r="G36" s="956">
        <v>0</v>
      </c>
      <c r="H36" s="957">
        <f t="shared" si="2"/>
        <v>402000000</v>
      </c>
      <c r="I36"/>
      <c r="J36"/>
      <c r="K36"/>
      <c r="L36"/>
    </row>
    <row r="37" spans="1:12">
      <c r="A37" s="896">
        <f t="shared" si="3"/>
        <v>23</v>
      </c>
      <c r="B37" s="919" t="s">
        <v>629</v>
      </c>
      <c r="C37" s="956">
        <v>0</v>
      </c>
      <c r="D37" s="956">
        <v>0</v>
      </c>
      <c r="E37" s="956">
        <v>0</v>
      </c>
      <c r="F37" s="956">
        <v>402000000</v>
      </c>
      <c r="G37" s="956">
        <v>0</v>
      </c>
      <c r="H37" s="957">
        <f t="shared" si="2"/>
        <v>402000000</v>
      </c>
      <c r="I37"/>
      <c r="J37"/>
      <c r="K37"/>
      <c r="L37"/>
    </row>
    <row r="38" spans="1:12">
      <c r="A38" s="896">
        <f t="shared" si="3"/>
        <v>24</v>
      </c>
      <c r="B38" s="919" t="s">
        <v>192</v>
      </c>
      <c r="C38" s="956">
        <v>0</v>
      </c>
      <c r="D38" s="956">
        <v>0</v>
      </c>
      <c r="E38" s="956">
        <v>0</v>
      </c>
      <c r="F38" s="956">
        <v>402000000</v>
      </c>
      <c r="G38" s="956">
        <v>0</v>
      </c>
      <c r="H38" s="957">
        <f t="shared" si="2"/>
        <v>402000000</v>
      </c>
      <c r="I38"/>
      <c r="J38"/>
      <c r="K38"/>
      <c r="L38"/>
    </row>
    <row r="39" spans="1:12">
      <c r="A39" s="896">
        <f t="shared" si="3"/>
        <v>25</v>
      </c>
      <c r="B39" s="919" t="s">
        <v>559</v>
      </c>
      <c r="C39" s="956">
        <v>0</v>
      </c>
      <c r="D39" s="956">
        <v>0</v>
      </c>
      <c r="E39" s="956">
        <v>0</v>
      </c>
      <c r="F39" s="956">
        <v>402000000</v>
      </c>
      <c r="G39" s="956">
        <v>0</v>
      </c>
      <c r="H39" s="957">
        <f t="shared" si="2"/>
        <v>402000000</v>
      </c>
      <c r="I39"/>
      <c r="J39"/>
      <c r="K39"/>
      <c r="L39"/>
    </row>
    <row r="40" spans="1:12">
      <c r="A40" s="896">
        <f t="shared" si="3"/>
        <v>26</v>
      </c>
      <c r="B40" s="919" t="s">
        <v>560</v>
      </c>
      <c r="C40" s="956">
        <v>0</v>
      </c>
      <c r="D40" s="956">
        <v>0</v>
      </c>
      <c r="E40" s="956">
        <v>0</v>
      </c>
      <c r="F40" s="956">
        <v>402000000</v>
      </c>
      <c r="G40" s="956">
        <v>0</v>
      </c>
      <c r="H40" s="957">
        <f t="shared" si="2"/>
        <v>402000000</v>
      </c>
      <c r="I40"/>
      <c r="J40"/>
      <c r="K40"/>
      <c r="L40"/>
    </row>
    <row r="41" spans="1:12">
      <c r="A41" s="895">
        <f t="shared" si="3"/>
        <v>27</v>
      </c>
      <c r="B41" s="918" t="s">
        <v>628</v>
      </c>
      <c r="C41" s="956">
        <v>0</v>
      </c>
      <c r="D41" s="956">
        <v>0</v>
      </c>
      <c r="E41" s="956">
        <v>0</v>
      </c>
      <c r="F41" s="956">
        <v>502000000</v>
      </c>
      <c r="G41" s="956">
        <v>0</v>
      </c>
      <c r="H41" s="957">
        <f t="shared" si="2"/>
        <v>502000000</v>
      </c>
      <c r="I41"/>
      <c r="J41"/>
      <c r="K41"/>
      <c r="L41"/>
    </row>
    <row r="42" spans="1:12" ht="13.5" thickBot="1">
      <c r="A42" s="917">
        <f t="shared" si="3"/>
        <v>28</v>
      </c>
      <c r="B42" s="916" t="s">
        <v>859</v>
      </c>
      <c r="C42" s="892">
        <f t="shared" ref="C42:H42" si="4">SUM(C29:C41)/13</f>
        <v>0</v>
      </c>
      <c r="D42" s="891">
        <f t="shared" si="4"/>
        <v>0</v>
      </c>
      <c r="E42" s="891">
        <f t="shared" si="4"/>
        <v>0</v>
      </c>
      <c r="F42" s="891">
        <f t="shared" si="4"/>
        <v>398384615.38461536</v>
      </c>
      <c r="G42" s="891">
        <f t="shared" si="4"/>
        <v>0</v>
      </c>
      <c r="H42" s="958">
        <f t="shared" si="4"/>
        <v>398384615.38461536</v>
      </c>
      <c r="I42"/>
      <c r="J42"/>
      <c r="K42"/>
      <c r="L42"/>
    </row>
    <row r="43" spans="1:12" ht="13.5" thickTop="1">
      <c r="A43" s="945"/>
      <c r="B43" s="960"/>
      <c r="C43" s="961"/>
      <c r="D43" s="962"/>
      <c r="E43" s="962"/>
      <c r="F43" s="962"/>
      <c r="G43" s="961"/>
      <c r="H43" s="961"/>
      <c r="I43"/>
      <c r="J43"/>
      <c r="K43"/>
      <c r="L43"/>
    </row>
    <row r="44" spans="1:12" ht="12.75" customHeight="1">
      <c r="A44" s="963" t="s">
        <v>687</v>
      </c>
      <c r="F44" s="573"/>
      <c r="G44" s="573"/>
      <c r="H44" s="573"/>
      <c r="I44"/>
      <c r="J44"/>
      <c r="K44"/>
    </row>
    <row r="45" spans="1:12">
      <c r="E45" s="573"/>
      <c r="F45" s="573"/>
      <c r="G45" s="573"/>
      <c r="H45" s="573"/>
      <c r="J45" s="960"/>
    </row>
    <row r="46" spans="1:12" ht="15">
      <c r="A46" s="965" t="s">
        <v>7</v>
      </c>
      <c r="E46" s="573"/>
      <c r="F46" s="573"/>
      <c r="G46" s="573"/>
      <c r="H46" s="889"/>
    </row>
    <row r="47" spans="1:12" ht="15">
      <c r="A47" s="965"/>
      <c r="B47" s="966" t="s">
        <v>638</v>
      </c>
      <c r="C47" s="966" t="s">
        <v>637</v>
      </c>
      <c r="D47" s="967" t="s">
        <v>636</v>
      </c>
      <c r="E47" s="966" t="s">
        <v>635</v>
      </c>
      <c r="F47" s="967" t="s">
        <v>634</v>
      </c>
      <c r="G47" s="966" t="s">
        <v>656</v>
      </c>
      <c r="H47" s="966" t="s">
        <v>657</v>
      </c>
    </row>
    <row r="48" spans="1:12">
      <c r="A48" s="646">
        <f>+A42+1</f>
        <v>29</v>
      </c>
      <c r="B48" s="968" t="str">
        <f>"Annual Interest Expense for "&amp;TCOS!L4</f>
        <v>Annual Interest Expense for 2022</v>
      </c>
      <c r="C48" s="969"/>
      <c r="D48" s="970"/>
      <c r="E48" s="971"/>
      <c r="F48" s="971"/>
      <c r="G48" s="971"/>
      <c r="H48" s="971"/>
      <c r="I48" s="971"/>
      <c r="J48" s="971"/>
      <c r="K48" s="971"/>
      <c r="L48" s="971"/>
    </row>
    <row r="49" spans="1:12">
      <c r="A49" s="646">
        <f t="shared" ref="A49:A56" si="5">+A48+1</f>
        <v>30</v>
      </c>
      <c r="B49" s="1127" t="s">
        <v>759</v>
      </c>
      <c r="C49" s="969"/>
      <c r="D49" s="970"/>
      <c r="E49" s="973">
        <v>14176991.390000001</v>
      </c>
      <c r="F49" s="971"/>
      <c r="G49" s="971"/>
      <c r="H49" s="971"/>
      <c r="I49" s="971"/>
      <c r="J49" s="971"/>
      <c r="K49" s="971"/>
      <c r="L49" s="971"/>
    </row>
    <row r="50" spans="1:12" ht="28.5" customHeight="1">
      <c r="A50" s="646">
        <f t="shared" si="5"/>
        <v>31</v>
      </c>
      <c r="B50" s="1617" t="str">
        <f>"Less: Total Hedge Gain/Expense Accumulated from p 256-257, col. (i) of FERC Form 1  included in Ln "&amp;A49&amp;" and shown in "&amp;A74&amp;" below."</f>
        <v>Less: Total Hedge Gain/Expense Accumulated from p 256-257, col. (i) of FERC Form 1  included in Ln 30 and shown in 50 below.</v>
      </c>
      <c r="C50" s="1618"/>
      <c r="D50" s="970"/>
      <c r="E50" s="969">
        <f>+C74</f>
        <v>0</v>
      </c>
      <c r="F50" s="971"/>
      <c r="G50" s="971"/>
      <c r="H50" s="971"/>
      <c r="I50" s="971"/>
      <c r="J50" s="971"/>
      <c r="K50" s="971"/>
      <c r="L50" s="971"/>
    </row>
    <row r="51" spans="1:12" ht="16.5" customHeight="1">
      <c r="A51" s="646">
        <f t="shared" si="5"/>
        <v>32</v>
      </c>
      <c r="B51" s="974" t="str">
        <f>"Plus:  Allowed Hedge Recovery From Ln "&amp;A80&amp;"  below."</f>
        <v>Plus:  Allowed Hedge Recovery From Ln 55  below.</v>
      </c>
      <c r="C51" s="1128"/>
      <c r="D51" s="970"/>
      <c r="E51" s="975">
        <f>+E80</f>
        <v>0</v>
      </c>
      <c r="F51" s="971"/>
      <c r="G51" s="971"/>
      <c r="H51" s="971"/>
      <c r="I51" s="971"/>
      <c r="J51" s="971"/>
      <c r="K51" s="971"/>
      <c r="L51" s="971"/>
    </row>
    <row r="52" spans="1:12">
      <c r="A52" s="646">
        <f t="shared" si="5"/>
        <v>33</v>
      </c>
      <c r="B52" s="1127" t="s">
        <v>760</v>
      </c>
      <c r="C52" s="1129"/>
      <c r="D52" s="976"/>
      <c r="E52" s="973">
        <v>219963.82</v>
      </c>
      <c r="F52" s="971"/>
      <c r="G52" s="971"/>
      <c r="H52" s="971"/>
      <c r="I52" s="971"/>
      <c r="J52" s="971"/>
    </row>
    <row r="53" spans="1:12">
      <c r="A53" s="646">
        <f t="shared" si="5"/>
        <v>34</v>
      </c>
      <c r="B53" s="1127" t="s">
        <v>761</v>
      </c>
      <c r="C53" s="977"/>
      <c r="D53" s="970"/>
      <c r="E53" s="973">
        <v>0</v>
      </c>
      <c r="F53" s="971"/>
      <c r="G53" s="971"/>
      <c r="H53" s="971"/>
      <c r="I53" s="971"/>
      <c r="J53" s="971"/>
    </row>
    <row r="54" spans="1:12">
      <c r="A54" s="646">
        <f t="shared" si="5"/>
        <v>35</v>
      </c>
      <c r="B54" s="1127" t="s">
        <v>762</v>
      </c>
      <c r="C54" s="977"/>
      <c r="D54" s="970"/>
      <c r="E54" s="973"/>
      <c r="F54" s="971"/>
      <c r="G54" s="971"/>
      <c r="H54" s="971"/>
      <c r="I54" s="971"/>
      <c r="J54" s="971"/>
    </row>
    <row r="55" spans="1:12" ht="13.5" thickBot="1">
      <c r="A55" s="646">
        <f t="shared" si="5"/>
        <v>36</v>
      </c>
      <c r="B55" s="1127" t="s">
        <v>763</v>
      </c>
      <c r="C55" s="977"/>
      <c r="D55" s="970"/>
      <c r="E55" s="978"/>
      <c r="F55" s="971"/>
      <c r="G55" s="971"/>
      <c r="H55" s="971"/>
      <c r="I55" s="971"/>
      <c r="J55" s="971"/>
    </row>
    <row r="56" spans="1:12">
      <c r="A56" s="646">
        <f t="shared" si="5"/>
        <v>37</v>
      </c>
      <c r="B56" s="968" t="str">
        <f>"Total Interest Expense (Ln "&amp;A49&amp;" - "&amp;A50&amp;" + "&amp;A52&amp;" + "&amp;A53&amp;" - "&amp;A54&amp;" - "&amp;A55&amp;")"</f>
        <v>Total Interest Expense (Ln 30 - 31 + 33 + 34 - 35 - 36)</v>
      </c>
      <c r="C56" s="979"/>
      <c r="D56" s="980"/>
      <c r="E56" s="981">
        <f>+E49-E50+E51+E52+E53-E54-E55</f>
        <v>14396955.210000001</v>
      </c>
      <c r="F56" s="971"/>
      <c r="G56" s="971"/>
      <c r="H56" s="971"/>
      <c r="I56" s="971"/>
      <c r="J56" s="971"/>
    </row>
    <row r="57" spans="1:12" ht="13.5" thickBot="1">
      <c r="A57" s="646"/>
      <c r="B57" s="972"/>
      <c r="C57" s="977"/>
      <c r="D57" s="970"/>
      <c r="E57" s="981"/>
      <c r="F57" s="971"/>
      <c r="G57" s="971"/>
      <c r="H57" s="971"/>
      <c r="I57" s="971"/>
      <c r="J57" s="971"/>
    </row>
    <row r="58" spans="1:12" ht="13.5" thickBot="1">
      <c r="A58" s="646">
        <f>+A56+1</f>
        <v>38</v>
      </c>
      <c r="B58" s="968" t="str">
        <f>"Average Cost of Debt for "&amp;TCOS!L4&amp;" (Ln "&amp;A56&amp;"/ ln "&amp;A42&amp;" (g))"</f>
        <v>Average Cost of Debt for 2022 (Ln 37/ ln 28 (g))</v>
      </c>
      <c r="C58" s="979"/>
      <c r="D58" s="970"/>
      <c r="E58" s="982">
        <f>+E56/H42</f>
        <v>3.6138331285962548E-2</v>
      </c>
      <c r="F58" s="971"/>
      <c r="G58" s="971"/>
      <c r="H58" s="971"/>
      <c r="I58" s="971"/>
      <c r="J58" s="971"/>
    </row>
    <row r="59" spans="1:12">
      <c r="A59" s="983"/>
      <c r="B59" s="972"/>
      <c r="C59" s="977"/>
      <c r="D59" s="970"/>
      <c r="E59" s="977"/>
      <c r="F59" s="971"/>
      <c r="G59" s="971"/>
      <c r="H59" s="971"/>
      <c r="I59" s="971"/>
      <c r="J59" s="971"/>
    </row>
    <row r="60" spans="1:12" s="985" customFormat="1" ht="28.5" customHeight="1">
      <c r="A60" s="758"/>
      <c r="B60" s="1619" t="s">
        <v>0</v>
      </c>
      <c r="C60" s="1619"/>
      <c r="D60" s="1619"/>
      <c r="E60" s="1619"/>
      <c r="F60" s="759"/>
      <c r="G60" s="984"/>
    </row>
    <row r="61" spans="1:12" s="985" customFormat="1" ht="107.25" customHeight="1">
      <c r="A61" s="760">
        <f>+A58+1</f>
        <v>39</v>
      </c>
      <c r="B61" s="1620" t="s">
        <v>312</v>
      </c>
      <c r="C61" s="1621"/>
      <c r="D61" s="1621"/>
      <c r="E61" s="1621"/>
      <c r="F61" s="573"/>
      <c r="G61" s="984"/>
    </row>
    <row r="62" spans="1:12" s="985" customFormat="1" ht="12" customHeight="1">
      <c r="A62" s="758"/>
      <c r="B62" s="761"/>
      <c r="C62" s="761"/>
      <c r="D62" s="761"/>
      <c r="E62" s="761"/>
      <c r="F62" s="984"/>
      <c r="G62" s="1622" t="s">
        <v>232</v>
      </c>
      <c r="H62" s="1622"/>
    </row>
    <row r="63" spans="1:12" s="985" customFormat="1" ht="52.5" customHeight="1">
      <c r="A63" s="587"/>
      <c r="B63" s="987" t="s">
        <v>359</v>
      </c>
      <c r="C63" s="986" t="str">
        <f>"Total Hedge (Gain)/Loss for "&amp;TCOS!L4</f>
        <v>Total Hedge (Gain)/Loss for 2022</v>
      </c>
      <c r="D63" s="986" t="str">
        <f>"Less Excludable Amounts (See NOTE on Line "&amp;A61&amp;")"</f>
        <v>Less Excludable Amounts (See NOTE on Line 39)</v>
      </c>
      <c r="E63" s="986" t="s">
        <v>1</v>
      </c>
      <c r="F63" s="986" t="s">
        <v>231</v>
      </c>
      <c r="G63" s="986" t="s">
        <v>283</v>
      </c>
      <c r="H63" s="986" t="s">
        <v>285</v>
      </c>
    </row>
    <row r="64" spans="1:12" s="985" customFormat="1" ht="12.75" customHeight="1">
      <c r="A64" s="587">
        <f>+A61+1</f>
        <v>40</v>
      </c>
      <c r="B64" s="1238" t="s">
        <v>891</v>
      </c>
      <c r="C64" s="868">
        <v>0</v>
      </c>
      <c r="D64" s="988">
        <v>0</v>
      </c>
      <c r="E64" s="989">
        <f t="shared" ref="E64:E72" si="6">+C64-D64</f>
        <v>0</v>
      </c>
      <c r="F64" s="868"/>
      <c r="G64" s="990"/>
      <c r="H64" s="990"/>
      <c r="I64" s="319"/>
      <c r="J64" s="319"/>
    </row>
    <row r="65" spans="1:8" s="985" customFormat="1" ht="12.75" customHeight="1">
      <c r="A65" s="587">
        <f t="shared" ref="A65:A74" si="7">+A64+1</f>
        <v>41</v>
      </c>
      <c r="B65" s="1238" t="s">
        <v>892</v>
      </c>
      <c r="C65" s="868">
        <v>0</v>
      </c>
      <c r="D65" s="988">
        <v>0</v>
      </c>
      <c r="E65" s="989">
        <f t="shared" si="6"/>
        <v>0</v>
      </c>
      <c r="F65" s="868"/>
      <c r="G65" s="990"/>
      <c r="H65" s="990"/>
    </row>
    <row r="66" spans="1:8" s="985" customFormat="1" ht="12.75" customHeight="1">
      <c r="A66" s="587">
        <f t="shared" si="7"/>
        <v>42</v>
      </c>
      <c r="B66" s="988"/>
      <c r="C66" s="868"/>
      <c r="D66" s="991"/>
      <c r="E66" s="989">
        <f t="shared" si="6"/>
        <v>0</v>
      </c>
      <c r="F66" s="868"/>
      <c r="G66" s="990"/>
      <c r="H66" s="990"/>
    </row>
    <row r="67" spans="1:8" s="985" customFormat="1" ht="12.75" customHeight="1">
      <c r="A67" s="587">
        <f t="shared" si="7"/>
        <v>43</v>
      </c>
      <c r="B67" s="988"/>
      <c r="C67" s="868"/>
      <c r="D67" s="991"/>
      <c r="E67" s="989">
        <f t="shared" si="6"/>
        <v>0</v>
      </c>
      <c r="F67" s="868"/>
      <c r="G67" s="990"/>
      <c r="H67" s="990"/>
    </row>
    <row r="68" spans="1:8" s="985" customFormat="1" ht="12.75" customHeight="1">
      <c r="A68" s="587">
        <f t="shared" si="7"/>
        <v>44</v>
      </c>
      <c r="B68" s="988"/>
      <c r="C68" s="868"/>
      <c r="D68" s="988"/>
      <c r="E68" s="989">
        <f t="shared" si="6"/>
        <v>0</v>
      </c>
      <c r="F68" s="868"/>
      <c r="G68" s="990"/>
      <c r="H68" s="990"/>
    </row>
    <row r="69" spans="1:8" s="985" customFormat="1" ht="12.75" customHeight="1">
      <c r="A69" s="587">
        <f t="shared" si="7"/>
        <v>45</v>
      </c>
      <c r="B69" s="988"/>
      <c r="C69" s="868"/>
      <c r="D69" s="988"/>
      <c r="E69" s="989">
        <f t="shared" si="6"/>
        <v>0</v>
      </c>
      <c r="F69" s="868"/>
      <c r="G69" s="990"/>
      <c r="H69" s="990"/>
    </row>
    <row r="70" spans="1:8" s="985" customFormat="1" ht="12.75" customHeight="1">
      <c r="A70" s="587">
        <f t="shared" si="7"/>
        <v>46</v>
      </c>
      <c r="B70" s="988"/>
      <c r="C70" s="868"/>
      <c r="D70" s="988"/>
      <c r="E70" s="989">
        <f t="shared" si="6"/>
        <v>0</v>
      </c>
      <c r="F70" s="868"/>
      <c r="G70" s="990"/>
      <c r="H70" s="990"/>
    </row>
    <row r="71" spans="1:8" s="985" customFormat="1" ht="12.75" customHeight="1">
      <c r="A71" s="587">
        <f t="shared" si="7"/>
        <v>47</v>
      </c>
      <c r="B71" s="988"/>
      <c r="C71" s="868"/>
      <c r="D71" s="992"/>
      <c r="E71" s="989">
        <f t="shared" si="6"/>
        <v>0</v>
      </c>
      <c r="F71" s="868"/>
      <c r="G71" s="990"/>
      <c r="H71" s="990"/>
    </row>
    <row r="72" spans="1:8" s="985" customFormat="1" ht="12.75" customHeight="1">
      <c r="A72" s="587">
        <f t="shared" si="7"/>
        <v>48</v>
      </c>
      <c r="B72" s="988"/>
      <c r="C72" s="868"/>
      <c r="D72" s="973"/>
      <c r="E72" s="989">
        <f t="shared" si="6"/>
        <v>0</v>
      </c>
      <c r="F72" s="993"/>
      <c r="G72" s="993"/>
      <c r="H72" s="993"/>
    </row>
    <row r="73" spans="1:8" s="985" customFormat="1" ht="12.75" customHeight="1">
      <c r="A73" s="587">
        <f t="shared" si="7"/>
        <v>49</v>
      </c>
      <c r="B73" s="532"/>
      <c r="C73" s="994"/>
      <c r="D73" s="994"/>
      <c r="E73" s="995"/>
      <c r="F73" s="989">
        <f>SUM(F64:F72)</f>
        <v>0</v>
      </c>
      <c r="G73" s="984"/>
    </row>
    <row r="74" spans="1:8" s="985" customFormat="1" ht="12.75" customHeight="1">
      <c r="A74" s="587">
        <f t="shared" si="7"/>
        <v>50</v>
      </c>
      <c r="B74" s="972" t="s">
        <v>8</v>
      </c>
      <c r="C74" s="981">
        <f>SUM(C64:C72)</f>
        <v>0</v>
      </c>
      <c r="D74" s="981">
        <f>SUM(D64:D72)</f>
        <v>0</v>
      </c>
      <c r="F74" s="984"/>
      <c r="G74" s="984"/>
    </row>
    <row r="75" spans="1:8" s="985" customFormat="1" ht="21" customHeight="1">
      <c r="A75" s="587"/>
      <c r="B75" s="972"/>
      <c r="C75" s="981"/>
      <c r="D75" s="981"/>
      <c r="E75" s="981"/>
      <c r="F75" s="984"/>
      <c r="G75" s="984"/>
    </row>
    <row r="76" spans="1:8" s="985" customFormat="1" ht="14.25" customHeight="1">
      <c r="A76" s="587">
        <f>+A74+1</f>
        <v>51</v>
      </c>
      <c r="B76" s="972" t="str">
        <f>"Hedge Gain or Loss Prior to Application of Recovery Limit (Sum of Lines "&amp;A64&amp;" to "&amp;A72&amp;")"</f>
        <v>Hedge Gain or Loss Prior to Application of Recovery Limit (Sum of Lines 40 to 48)</v>
      </c>
      <c r="C76" s="981"/>
      <c r="D76" s="981"/>
      <c r="E76" s="981">
        <f>SUM(E64:E72)</f>
        <v>0</v>
      </c>
      <c r="F76" s="984"/>
      <c r="G76" s="984"/>
    </row>
    <row r="77" spans="1:8" s="985" customFormat="1" ht="12.75" customHeight="1">
      <c r="A77" s="587">
        <f>+A76+1</f>
        <v>52</v>
      </c>
      <c r="B77" s="996" t="str">
        <f>"Total Average Capital Structure Balance for "&amp;TCOS!L4&amp;" (TCOS, Ln "&amp;TCOS!B258&amp;")"</f>
        <v>Total Average Capital Structure Balance for 2022 (TCOS, Ln 157)</v>
      </c>
      <c r="C77" s="977"/>
      <c r="D77" s="970"/>
      <c r="E77" s="997">
        <f>TCOS!G258</f>
        <v>827718797.33592296</v>
      </c>
      <c r="F77" s="984"/>
      <c r="G77" s="984"/>
      <c r="H77" s="998"/>
    </row>
    <row r="78" spans="1:8" s="985" customFormat="1" ht="12.75" customHeight="1">
      <c r="A78" s="587">
        <f>+A77+1</f>
        <v>53</v>
      </c>
      <c r="B78" s="972" t="s">
        <v>488</v>
      </c>
      <c r="C78" s="977"/>
      <c r="D78" s="970"/>
      <c r="E78" s="999">
        <v>5.0000000000000001E-4</v>
      </c>
      <c r="F78" s="984"/>
      <c r="G78" s="1000"/>
    </row>
    <row r="79" spans="1:8" s="985" customFormat="1" ht="12.75" customHeight="1" thickBot="1">
      <c r="A79" s="587">
        <f>+A78+1</f>
        <v>54</v>
      </c>
      <c r="B79" s="972" t="s">
        <v>489</v>
      </c>
      <c r="C79" s="977"/>
      <c r="D79" s="970"/>
      <c r="E79" s="1001">
        <f>+E77*E78</f>
        <v>413859.39866796148</v>
      </c>
      <c r="F79" s="984"/>
      <c r="G79" s="984"/>
    </row>
    <row r="80" spans="1:8" s="985" customFormat="1" ht="12.75" customHeight="1" thickBot="1">
      <c r="A80" s="587">
        <f>+A79+1</f>
        <v>55</v>
      </c>
      <c r="B80" s="968" t="str">
        <f>"Recoverable Hedge Amortization (Lesser of Ln "&amp;A76&amp;" or Ln "&amp;A79&amp;")"</f>
        <v>Recoverable Hedge Amortization (Lesser of Ln 51 or Ln 54)</v>
      </c>
      <c r="C80" s="977"/>
      <c r="D80" s="970"/>
      <c r="E80" s="1002">
        <f>+IF(E79&lt;E76,E79,E76)</f>
        <v>0</v>
      </c>
      <c r="F80" s="984"/>
      <c r="G80" s="984"/>
    </row>
    <row r="81" spans="1:7" s="985" customFormat="1" ht="12.75" customHeight="1">
      <c r="A81" s="587"/>
      <c r="B81" s="972"/>
      <c r="C81" s="977"/>
      <c r="D81" s="970"/>
      <c r="E81" s="977"/>
      <c r="F81" s="984"/>
      <c r="G81" s="984"/>
    </row>
    <row r="82" spans="1:7" s="985" customFormat="1" ht="12.75" customHeight="1">
      <c r="A82" s="1003" t="s">
        <v>9</v>
      </c>
      <c r="B82" s="1004"/>
      <c r="C82" s="977"/>
      <c r="D82" s="970"/>
      <c r="E82" s="977"/>
      <c r="F82" s="984"/>
      <c r="G82" s="984"/>
    </row>
    <row r="83" spans="1:7" s="985" customFormat="1" ht="12.75" customHeight="1">
      <c r="A83" s="587"/>
      <c r="B83" s="972"/>
      <c r="C83" s="977"/>
      <c r="D83" s="970"/>
      <c r="E83" s="977"/>
      <c r="F83" s="984"/>
      <c r="G83" s="984"/>
    </row>
    <row r="84" spans="1:7" s="985" customFormat="1" ht="12.75" customHeight="1">
      <c r="A84" s="587"/>
      <c r="B84" s="1005" t="s">
        <v>258</v>
      </c>
      <c r="C84" s="1006"/>
      <c r="D84" s="1007"/>
      <c r="E84" s="1006" t="s">
        <v>505</v>
      </c>
      <c r="F84" s="984"/>
      <c r="G84" s="984"/>
    </row>
    <row r="85" spans="1:7" s="985" customFormat="1" ht="12.75" customHeight="1">
      <c r="A85" s="587">
        <f>+A80+1</f>
        <v>56</v>
      </c>
      <c r="B85" s="970" t="str">
        <f>""&amp;C$85*100&amp;"% Series - "&amp;C$86&amp;" - Dividend Rate (p. 250-251)"</f>
        <v>0% Series - 0 - Dividend Rate (p. 250-251)</v>
      </c>
      <c r="C85" s="1008">
        <v>0</v>
      </c>
      <c r="D85" s="1008">
        <v>0</v>
      </c>
      <c r="E85" s="1006"/>
      <c r="F85" s="984"/>
      <c r="G85" s="984"/>
    </row>
    <row r="86" spans="1:7" s="985" customFormat="1" ht="12.75" customHeight="1">
      <c r="A86" s="587">
        <f>+A85+1</f>
        <v>57</v>
      </c>
      <c r="B86" s="970" t="str">
        <f>""&amp;C$85*100&amp;"% Series - "&amp;C$86&amp;" - Par Value (p. 250-251)"</f>
        <v>0% Series - 0 - Par Value (p. 250-251)</v>
      </c>
      <c r="C86" s="1009">
        <v>0</v>
      </c>
      <c r="D86" s="1009">
        <v>0</v>
      </c>
      <c r="E86" s="1006"/>
      <c r="F86" s="984"/>
      <c r="G86" s="984"/>
    </row>
    <row r="87" spans="1:7" s="985" customFormat="1" ht="12.75" customHeight="1">
      <c r="A87" s="587">
        <f>+A86+1</f>
        <v>58</v>
      </c>
      <c r="B87" s="970" t="str">
        <f>""&amp;C$85*100&amp;"% Series - "&amp;C$86&amp;" - Shares O/S (p.250-251) "</f>
        <v xml:space="preserve">0% Series - 0 - Shares O/S (p.250-251) </v>
      </c>
      <c r="C87" s="973">
        <v>0</v>
      </c>
      <c r="D87" s="973">
        <v>0</v>
      </c>
      <c r="E87" s="1010"/>
      <c r="F87" s="984"/>
      <c r="G87" s="984"/>
    </row>
    <row r="88" spans="1:7" s="985" customFormat="1" ht="12.75" customHeight="1">
      <c r="A88" s="587">
        <f>+A87+1</f>
        <v>59</v>
      </c>
      <c r="B88" s="970" t="str">
        <f>""&amp;C$85*100&amp;"% Series - "&amp;C$86&amp;" - Monetary Value (Ln "&amp;A86&amp;" * Ln "&amp;A87&amp;")"</f>
        <v>0% Series - 0 - Monetary Value (Ln 57 * Ln 58)</v>
      </c>
      <c r="C88" s="1011">
        <f>+C87*C86</f>
        <v>0</v>
      </c>
      <c r="D88" s="1011">
        <f>+D87*D86</f>
        <v>0</v>
      </c>
      <c r="E88" s="1012">
        <f>IF(C88=D88=0,0,AVERAGE(C88:D88))</f>
        <v>0</v>
      </c>
      <c r="F88" s="984"/>
      <c r="G88" s="984"/>
    </row>
    <row r="89" spans="1:7" s="985" customFormat="1" ht="12.75" customHeight="1">
      <c r="A89" s="587">
        <f>+A88+1</f>
        <v>60</v>
      </c>
      <c r="B89" s="970" t="str">
        <f>""&amp;C$85*100&amp;"% Series - "&amp;C$86&amp;" -  Dividend Amount (Ln "&amp;A85&amp;" * Ln "&amp;A88&amp;")"</f>
        <v>0% Series - 0 -  Dividend Amount (Ln 56 * Ln 59)</v>
      </c>
      <c r="C89" s="1011">
        <f>+C88*C85</f>
        <v>0</v>
      </c>
      <c r="D89" s="1011">
        <f>+D88*D85</f>
        <v>0</v>
      </c>
      <c r="E89" s="1012">
        <f>IF(C89=D89=0,0,AVERAGE(C89:D89))</f>
        <v>0</v>
      </c>
      <c r="F89" s="984"/>
      <c r="G89" s="984"/>
    </row>
    <row r="90" spans="1:7" s="985" customFormat="1" ht="12.75" customHeight="1">
      <c r="A90" s="587"/>
      <c r="B90" s="970"/>
      <c r="C90" s="1011"/>
      <c r="D90" s="1000"/>
      <c r="E90" s="1013"/>
      <c r="F90" s="984"/>
      <c r="G90" s="984"/>
    </row>
    <row r="91" spans="1:7" s="985" customFormat="1" ht="12.75" customHeight="1">
      <c r="A91" s="587">
        <f>+A89+1</f>
        <v>61</v>
      </c>
      <c r="B91" s="970" t="str">
        <f>""&amp;C$91*100&amp;"% Series - "&amp;C$92&amp;" - Dividend Rate (p. 250-251)"</f>
        <v>0% Series - 0 - Dividend Rate (p. 250-251)</v>
      </c>
      <c r="C91" s="1008">
        <v>0</v>
      </c>
      <c r="D91" s="1008">
        <v>0</v>
      </c>
      <c r="E91" s="1013"/>
      <c r="F91" s="984"/>
      <c r="G91" s="984"/>
    </row>
    <row r="92" spans="1:7" s="985" customFormat="1" ht="12.75" customHeight="1">
      <c r="A92" s="587">
        <f>+A91+1</f>
        <v>62</v>
      </c>
      <c r="B92" s="970" t="str">
        <f>""&amp;C$91*100&amp;"% Series - "&amp;C$92&amp;" - Par Value (p. 250-251)"</f>
        <v>0% Series - 0 - Par Value (p. 250-251)</v>
      </c>
      <c r="C92" s="1009">
        <v>0</v>
      </c>
      <c r="D92" s="1009">
        <v>0</v>
      </c>
      <c r="E92" s="1013"/>
      <c r="F92" s="984"/>
      <c r="G92" s="984"/>
    </row>
    <row r="93" spans="1:7" s="985" customFormat="1" ht="12.75" customHeight="1">
      <c r="A93" s="587">
        <f>+A92+1</f>
        <v>63</v>
      </c>
      <c r="B93" s="970" t="str">
        <f>""&amp;C$91*100&amp;"% Series - "&amp;C$92&amp;" - Shares O/S (p.250-251) "</f>
        <v xml:space="preserve">0% Series - 0 - Shares O/S (p.250-251) </v>
      </c>
      <c r="C93" s="973">
        <v>0</v>
      </c>
      <c r="D93" s="973">
        <v>0</v>
      </c>
      <c r="E93" s="1013"/>
      <c r="F93" s="984"/>
      <c r="G93" s="984"/>
    </row>
    <row r="94" spans="1:7" s="985" customFormat="1" ht="12.75" customHeight="1">
      <c r="A94" s="587">
        <f>+A93+1</f>
        <v>64</v>
      </c>
      <c r="B94" s="970" t="str">
        <f>""&amp;C$91*100&amp;"% Series - "&amp;C$92&amp;" - Monetary Value (Ln "&amp;A92&amp;" * Ln "&amp;A93&amp;")"</f>
        <v>0% Series - 0 - Monetary Value (Ln 62 * Ln 63)</v>
      </c>
      <c r="C94" s="969">
        <f>+C93*C92</f>
        <v>0</v>
      </c>
      <c r="D94" s="969">
        <f>+D93*D92</f>
        <v>0</v>
      </c>
      <c r="E94" s="1012">
        <f>IF(C94=D94=0,0,AVERAGE(C94:D94))</f>
        <v>0</v>
      </c>
      <c r="F94" s="984"/>
      <c r="G94" s="984"/>
    </row>
    <row r="95" spans="1:7" s="985" customFormat="1" ht="12.75" customHeight="1">
      <c r="A95" s="587">
        <f>+A94+1</f>
        <v>65</v>
      </c>
      <c r="B95" s="970" t="str">
        <f>""&amp;C$91*100&amp;"% Series - "&amp;C$92&amp;" -  Dividend Amount (Ln "&amp;A91&amp;" * Ln "&amp;A94&amp;")"</f>
        <v>0% Series - 0 -  Dividend Amount (Ln 61 * Ln 64)</v>
      </c>
      <c r="C95" s="969">
        <f>+C94*C91</f>
        <v>0</v>
      </c>
      <c r="D95" s="969">
        <f>+D94*D91</f>
        <v>0</v>
      </c>
      <c r="E95" s="1012">
        <f>IF(C95=D95=0,0,AVERAGE(C95:D95))</f>
        <v>0</v>
      </c>
      <c r="F95" s="984"/>
      <c r="G95" s="984"/>
    </row>
    <row r="96" spans="1:7" s="985" customFormat="1" ht="12.75" customHeight="1">
      <c r="A96" s="587"/>
      <c r="B96" s="970"/>
      <c r="C96" s="969"/>
      <c r="D96" s="969"/>
      <c r="E96" s="1012"/>
      <c r="F96" s="984"/>
      <c r="G96" s="984"/>
    </row>
    <row r="97" spans="1:7" s="985" customFormat="1" ht="12.75" customHeight="1">
      <c r="A97" s="587">
        <f>+A95+1</f>
        <v>66</v>
      </c>
      <c r="B97" s="970" t="str">
        <f>""&amp;C$97*100&amp;"% Series - "&amp;C$98&amp;" - Dividend Rate (p. 250-251)"</f>
        <v>0% Series - 0 - Dividend Rate (p. 250-251)</v>
      </c>
      <c r="C97" s="1008">
        <v>0</v>
      </c>
      <c r="D97" s="1008">
        <v>0</v>
      </c>
      <c r="E97" s="1012"/>
      <c r="F97" s="984"/>
      <c r="G97" s="984"/>
    </row>
    <row r="98" spans="1:7" s="985" customFormat="1" ht="12.75" customHeight="1">
      <c r="A98" s="587">
        <f>+A97+1</f>
        <v>67</v>
      </c>
      <c r="B98" s="970" t="str">
        <f>""&amp;C$97*100&amp;"% Series - "&amp;C$98&amp;" - Par Value (p. 250-251)"</f>
        <v>0% Series - 0 - Par Value (p. 250-251)</v>
      </c>
      <c r="C98" s="1009">
        <v>0</v>
      </c>
      <c r="D98" s="1009">
        <v>0</v>
      </c>
      <c r="E98" s="1012"/>
      <c r="F98" s="984"/>
      <c r="G98" s="984"/>
    </row>
    <row r="99" spans="1:7" s="985" customFormat="1" ht="12.75" customHeight="1">
      <c r="A99" s="587">
        <f>+A98+1</f>
        <v>68</v>
      </c>
      <c r="B99" s="970" t="str">
        <f>""&amp;C$97*100&amp;"% Series - "&amp;C$98&amp;" - Shares O/S (p.250-251) "</f>
        <v xml:space="preserve">0% Series - 0 - Shares O/S (p.250-251) </v>
      </c>
      <c r="C99" s="973">
        <v>0</v>
      </c>
      <c r="D99" s="973">
        <v>0</v>
      </c>
      <c r="E99" s="1013"/>
      <c r="F99" s="984"/>
      <c r="G99" s="984"/>
    </row>
    <row r="100" spans="1:7" s="985" customFormat="1" ht="12.75" customHeight="1">
      <c r="A100" s="587">
        <f>+A99+1</f>
        <v>69</v>
      </c>
      <c r="B100" s="970" t="str">
        <f>""&amp;C$97*100&amp;"% Series - "&amp;C$98&amp;" - Monetary Value (Ln "&amp;A98&amp;" * Ln "&amp;A99&amp;")"</f>
        <v>0% Series - 0 - Monetary Value (Ln 67 * Ln 68)</v>
      </c>
      <c r="C100" s="969">
        <f>+C99*C98</f>
        <v>0</v>
      </c>
      <c r="D100" s="969">
        <f>+D99*D98</f>
        <v>0</v>
      </c>
      <c r="E100" s="1012">
        <f>IF(C100=D100=0,0,AVERAGE(C100:D100))</f>
        <v>0</v>
      </c>
      <c r="F100" s="984"/>
      <c r="G100" s="984"/>
    </row>
    <row r="101" spans="1:7" s="985" customFormat="1" ht="12.75" customHeight="1">
      <c r="A101" s="587">
        <f>+A100+1</f>
        <v>70</v>
      </c>
      <c r="B101" s="970" t="str">
        <f>""&amp;C$97*100&amp;"% Series - "&amp;C$98&amp;" -  Dividend Amount (Ln "&amp;A97&amp;" * Ln "&amp;A100&amp;")"</f>
        <v>0% Series - 0 -  Dividend Amount (Ln 66 * Ln 69)</v>
      </c>
      <c r="C101" s="969">
        <f>+C100*C97</f>
        <v>0</v>
      </c>
      <c r="D101" s="969">
        <f>+D100*D97</f>
        <v>0</v>
      </c>
      <c r="E101" s="1012">
        <f>IF(C101=D101=0,0,AVERAGE(C101:D101))</f>
        <v>0</v>
      </c>
      <c r="F101" s="984"/>
      <c r="G101" s="984"/>
    </row>
    <row r="102" spans="1:7" s="985" customFormat="1" ht="12.75" customHeight="1">
      <c r="A102" s="587"/>
      <c r="B102" s="970"/>
      <c r="C102" s="969"/>
      <c r="D102" s="969"/>
      <c r="E102" s="984"/>
      <c r="F102" s="984"/>
      <c r="G102" s="984"/>
    </row>
    <row r="103" spans="1:7" s="985" customFormat="1" ht="12.75" customHeight="1">
      <c r="A103" s="587">
        <f>+A101+1</f>
        <v>71</v>
      </c>
      <c r="B103" s="980" t="str">
        <f>"Balance of Preferred Stock (Lns "&amp;A88&amp;", "&amp;A94&amp;", "&amp;A100&amp;")"</f>
        <v>Balance of Preferred Stock (Lns 59, 64, 69)</v>
      </c>
      <c r="C103" s="969">
        <f>+C88+C94+C100</f>
        <v>0</v>
      </c>
      <c r="D103" s="969">
        <f>+D88+D94+D100</f>
        <v>0</v>
      </c>
      <c r="E103" s="1014">
        <f>+E88+E94+E100</f>
        <v>0</v>
      </c>
      <c r="F103" s="970" t="s">
        <v>313</v>
      </c>
      <c r="G103" s="984"/>
    </row>
    <row r="104" spans="1:7" s="985" customFormat="1" ht="12.75" customHeight="1" thickBot="1">
      <c r="A104" s="587">
        <f>+A103+1</f>
        <v>72</v>
      </c>
      <c r="B104" s="980" t="str">
        <f>"Dividends on Preferred Stock (Lns "&amp;A89&amp;", "&amp;A95&amp;", "&amp;A101&amp;")"</f>
        <v>Dividends on Preferred Stock (Lns 60, 65, 70)</v>
      </c>
      <c r="C104" s="1015">
        <f>+C95+C89+C101</f>
        <v>0</v>
      </c>
      <c r="D104" s="1015">
        <f>+D95+D89+D101</f>
        <v>0</v>
      </c>
      <c r="E104" s="1016">
        <f>+E101+E95+E89</f>
        <v>0</v>
      </c>
      <c r="F104" s="984"/>
      <c r="G104" s="984"/>
    </row>
    <row r="105" spans="1:7" s="985" customFormat="1" ht="12.75" customHeight="1" thickBot="1">
      <c r="A105" s="587">
        <f>+A104+1</f>
        <v>73</v>
      </c>
      <c r="B105" s="1017" t="str">
        <f>"Average Cost of Preferred Stock (Ln "&amp;A104&amp;"/"&amp;A103&amp;")"</f>
        <v>Average Cost of Preferred Stock (Ln 72/71)</v>
      </c>
      <c r="C105" s="977">
        <f>IF(C103=0,0,C104/C103)</f>
        <v>0</v>
      </c>
      <c r="D105" s="977">
        <f>IF(D103=0,0,D104/D103)</f>
        <v>0</v>
      </c>
      <c r="E105" s="982">
        <f>IF(E103=0,0,+E104/E103)</f>
        <v>0</v>
      </c>
      <c r="F105" s="984"/>
      <c r="G105" s="984"/>
    </row>
    <row r="147" spans="7:7">
      <c r="G147" s="944" t="s">
        <v>114</v>
      </c>
    </row>
    <row r="164" spans="7:12">
      <c r="G164" s="1280"/>
      <c r="L164" s="1280"/>
    </row>
  </sheetData>
  <mergeCells count="10">
    <mergeCell ref="B50:C50"/>
    <mergeCell ref="B60:E60"/>
    <mergeCell ref="B61:E61"/>
    <mergeCell ref="G62:H62"/>
    <mergeCell ref="A1:G1"/>
    <mergeCell ref="A2:G2"/>
    <mergeCell ref="A3:G3"/>
    <mergeCell ref="A4:G4"/>
    <mergeCell ref="C6:G6"/>
    <mergeCell ref="C25:H25"/>
  </mergeCells>
  <pageMargins left="0.7" right="0.7" top="0.75" bottom="0.75" header="0.3" footer="0.3"/>
  <pageSetup scale="46" fitToHeight="0" orientation="landscape" cellComments="asDisplayed" r:id="rId1"/>
  <headerFooter>
    <oddHeader xml:space="preserve">&amp;L&amp;"Times New Roman,Bold Italic"&amp;12Privileged and Confidential
Subject to FERC Rules 602 and 606&amp;RPage &amp;P of &amp;N
</oddHeader>
  </headerFooter>
  <rowBreaks count="1" manualBreakCount="1">
    <brk id="44"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pageSetUpPr fitToPage="1"/>
  </sheetPr>
  <dimension ref="A1:U34"/>
  <sheetViews>
    <sheetView view="pageBreakPreview" zoomScale="80" zoomScaleNormal="100" zoomScaleSheetLayoutView="80" workbookViewId="0">
      <selection activeCell="A3" sqref="A3:O3"/>
    </sheetView>
  </sheetViews>
  <sheetFormatPr defaultRowHeight="12.75"/>
  <cols>
    <col min="2" max="2" width="11.85546875" customWidth="1"/>
    <col min="3" max="3" width="1" customWidth="1"/>
    <col min="8" max="8" width="1.5703125" customWidth="1"/>
    <col min="9" max="9" width="9.85546875" customWidth="1"/>
    <col min="10" max="10" width="1.5703125" customWidth="1"/>
    <col min="11" max="11" width="12.5703125" customWidth="1"/>
    <col min="12" max="12" width="1.5703125" customWidth="1"/>
    <col min="13" max="13" width="13.5703125" customWidth="1"/>
    <col min="14" max="14" width="1.140625" customWidth="1"/>
    <col min="15" max="15" width="14.85546875" customWidth="1"/>
    <col min="16" max="16" width="2.5703125" customWidth="1"/>
    <col min="17" max="17" width="12.5703125" customWidth="1"/>
    <col min="18" max="18" width="1.85546875" customWidth="1"/>
    <col min="19" max="19" width="17.5703125" customWidth="1"/>
    <col min="20" max="20" width="1.85546875" customWidth="1"/>
    <col min="21" max="21" width="10.42578125" customWidth="1"/>
  </cols>
  <sheetData>
    <row r="1" spans="1:21" ht="15.75">
      <c r="A1" s="881" t="s">
        <v>114</v>
      </c>
    </row>
    <row r="2" spans="1:21" ht="15.75">
      <c r="A2" s="881" t="s">
        <v>114</v>
      </c>
    </row>
    <row r="3" spans="1:21" ht="18">
      <c r="A3" s="1603" t="s">
        <v>387</v>
      </c>
      <c r="B3" s="1603"/>
      <c r="C3" s="1603"/>
      <c r="D3" s="1603"/>
      <c r="E3" s="1603"/>
      <c r="F3" s="1603"/>
      <c r="G3" s="1603"/>
      <c r="H3" s="1603"/>
      <c r="I3" s="1603"/>
      <c r="J3" s="1603"/>
      <c r="K3" s="1603"/>
      <c r="L3" s="1603"/>
      <c r="M3" s="1603"/>
      <c r="N3" s="1603"/>
      <c r="O3" s="1603"/>
    </row>
    <row r="4" spans="1:21" ht="18">
      <c r="A4" s="1602" t="str">
        <f>"Cost of Service Formula Rate Using Actual/Projected FF1 Balances"</f>
        <v>Cost of Service Formula Rate Using Actual/Projected FF1 Balances</v>
      </c>
      <c r="B4" s="1602"/>
      <c r="C4" s="1602"/>
      <c r="D4" s="1602"/>
      <c r="E4" s="1602"/>
      <c r="F4" s="1602"/>
      <c r="G4" s="1602"/>
      <c r="H4" s="1602"/>
      <c r="I4" s="1602"/>
      <c r="J4" s="1602"/>
      <c r="K4" s="1602"/>
      <c r="L4" s="1602"/>
      <c r="M4" s="1602"/>
      <c r="N4" s="1602"/>
      <c r="O4" s="1602"/>
    </row>
    <row r="5" spans="1:21" ht="18">
      <c r="A5" s="1602" t="s">
        <v>239</v>
      </c>
      <c r="B5" s="1602"/>
      <c r="C5" s="1602"/>
      <c r="D5" s="1602"/>
      <c r="E5" s="1602"/>
      <c r="F5" s="1602"/>
      <c r="G5" s="1602"/>
      <c r="H5" s="1602"/>
      <c r="I5" s="1602"/>
      <c r="J5" s="1602"/>
      <c r="K5" s="1602"/>
      <c r="L5" s="1602"/>
      <c r="M5" s="1602"/>
      <c r="N5" s="1602"/>
      <c r="O5" s="1602"/>
    </row>
    <row r="6" spans="1:21" ht="18">
      <c r="A6" s="1597" t="str">
        <f>+TCOS!F9</f>
        <v>WHEELING POWER COMPANY</v>
      </c>
      <c r="B6" s="1597"/>
      <c r="C6" s="1597"/>
      <c r="D6" s="1597"/>
      <c r="E6" s="1597"/>
      <c r="F6" s="1597"/>
      <c r="G6" s="1597"/>
      <c r="H6" s="1597"/>
      <c r="I6" s="1597"/>
      <c r="J6" s="1597"/>
      <c r="K6" s="1597"/>
      <c r="L6" s="1597"/>
      <c r="M6" s="1597"/>
      <c r="N6" s="1597"/>
      <c r="O6" s="1597"/>
    </row>
    <row r="7" spans="1:21" ht="12.75" customHeight="1">
      <c r="A7" s="156"/>
      <c r="B7" s="156"/>
      <c r="C7" s="156"/>
      <c r="D7" s="156"/>
      <c r="E7" s="156"/>
      <c r="F7" s="156"/>
      <c r="G7" s="156"/>
      <c r="H7" s="156"/>
      <c r="I7" s="156"/>
      <c r="J7" s="156"/>
      <c r="K7" s="156"/>
      <c r="L7" s="156"/>
    </row>
    <row r="8" spans="1:21" ht="12.75" customHeight="1">
      <c r="A8" s="1629" t="s">
        <v>390</v>
      </c>
      <c r="B8" s="1629"/>
      <c r="C8" s="1629"/>
      <c r="D8" s="1629"/>
      <c r="E8" s="1629"/>
      <c r="F8" s="1629"/>
      <c r="G8" s="1629"/>
      <c r="H8" s="1629"/>
      <c r="I8" s="1629"/>
      <c r="J8" s="1629"/>
      <c r="K8" s="1629"/>
      <c r="L8" s="1629"/>
      <c r="M8" s="1629"/>
      <c r="N8" s="1629"/>
      <c r="O8" s="1629"/>
    </row>
    <row r="9" spans="1:21" ht="12.75" customHeight="1">
      <c r="A9" s="1629"/>
      <c r="B9" s="1629"/>
      <c r="C9" s="1629"/>
      <c r="D9" s="1629"/>
      <c r="E9" s="1629"/>
      <c r="F9" s="1629"/>
      <c r="G9" s="1629"/>
      <c r="H9" s="1629"/>
      <c r="I9" s="1629"/>
      <c r="J9" s="1629"/>
      <c r="K9" s="1629"/>
      <c r="L9" s="1629"/>
      <c r="M9" s="1629"/>
      <c r="N9" s="1629"/>
      <c r="O9" s="1629"/>
    </row>
    <row r="10" spans="1:21">
      <c r="A10" s="1629"/>
      <c r="B10" s="1629"/>
      <c r="C10" s="1629"/>
      <c r="D10" s="1629"/>
      <c r="E10" s="1629"/>
      <c r="F10" s="1629"/>
      <c r="G10" s="1629"/>
      <c r="H10" s="1629"/>
      <c r="I10" s="1629"/>
      <c r="J10" s="1629"/>
      <c r="K10" s="1629"/>
      <c r="L10" s="1629"/>
      <c r="M10" s="1629"/>
      <c r="N10" s="1629"/>
      <c r="O10" s="1629"/>
    </row>
    <row r="11" spans="1:21">
      <c r="A11" s="1629"/>
      <c r="B11" s="1629"/>
      <c r="C11" s="1629"/>
      <c r="D11" s="1629"/>
      <c r="E11" s="1629"/>
      <c r="F11" s="1629"/>
      <c r="G11" s="1629"/>
      <c r="H11" s="1629"/>
      <c r="I11" s="1629"/>
      <c r="J11" s="1629"/>
      <c r="K11" s="1629"/>
      <c r="L11" s="1629"/>
      <c r="M11" s="1629"/>
      <c r="N11" s="1629"/>
      <c r="O11" s="1629"/>
    </row>
    <row r="12" spans="1:21">
      <c r="B12" s="1" t="s">
        <v>162</v>
      </c>
      <c r="C12" s="1"/>
      <c r="D12" s="1628" t="s">
        <v>163</v>
      </c>
      <c r="E12" s="1628"/>
      <c r="F12" s="1628"/>
      <c r="G12" s="1628"/>
      <c r="H12" s="1"/>
      <c r="I12" s="1" t="s">
        <v>4</v>
      </c>
      <c r="J12" s="1"/>
      <c r="K12" s="1" t="s">
        <v>165</v>
      </c>
      <c r="L12" s="1"/>
      <c r="M12" s="1" t="s">
        <v>84</v>
      </c>
      <c r="N12" s="1"/>
      <c r="O12" s="1" t="s">
        <v>85</v>
      </c>
      <c r="P12" s="1"/>
      <c r="Q12" s="1" t="s">
        <v>20</v>
      </c>
      <c r="R12" s="1"/>
      <c r="S12" s="1" t="s">
        <v>91</v>
      </c>
      <c r="T12" s="1"/>
      <c r="U12" s="99" t="s">
        <v>499</v>
      </c>
    </row>
    <row r="13" spans="1:21">
      <c r="I13" s="1626" t="s">
        <v>18</v>
      </c>
      <c r="Q13" s="1630" t="s">
        <v>19</v>
      </c>
      <c r="S13" s="1626" t="s">
        <v>21</v>
      </c>
      <c r="U13" s="282" t="s">
        <v>80</v>
      </c>
    </row>
    <row r="14" spans="1:21">
      <c r="A14" s="164" t="s">
        <v>17</v>
      </c>
      <c r="B14" s="164" t="s">
        <v>13</v>
      </c>
      <c r="C14" s="164"/>
      <c r="D14" s="197" t="s">
        <v>14</v>
      </c>
      <c r="E14" s="164"/>
      <c r="F14" s="164"/>
      <c r="G14" s="164"/>
      <c r="H14" s="164"/>
      <c r="I14" s="1627"/>
      <c r="J14" s="164"/>
      <c r="K14" s="164" t="s">
        <v>15</v>
      </c>
      <c r="L14" s="164"/>
      <c r="M14" s="164" t="s">
        <v>16</v>
      </c>
      <c r="N14" s="164"/>
      <c r="O14" s="164" t="s">
        <v>492</v>
      </c>
      <c r="Q14" s="1630"/>
      <c r="S14" s="1626"/>
      <c r="U14" s="282" t="s">
        <v>306</v>
      </c>
    </row>
    <row r="15" spans="1:21">
      <c r="A15" s="164"/>
      <c r="B15" s="164"/>
      <c r="C15" s="164"/>
      <c r="D15" s="197"/>
      <c r="E15" s="164"/>
      <c r="F15" s="164"/>
      <c r="G15" s="164"/>
      <c r="H15" s="164"/>
      <c r="I15" s="2" t="s">
        <v>490</v>
      </c>
      <c r="J15" s="164"/>
      <c r="K15" s="164"/>
      <c r="L15" s="164"/>
      <c r="M15" s="164"/>
      <c r="N15" s="164"/>
      <c r="O15" s="164"/>
      <c r="Q15" s="220"/>
      <c r="S15" s="164" t="s">
        <v>492</v>
      </c>
    </row>
    <row r="16" spans="1:21">
      <c r="I16" t="s">
        <v>491</v>
      </c>
    </row>
    <row r="17" spans="1:21">
      <c r="A17" s="1">
        <v>1</v>
      </c>
      <c r="B17" s="870"/>
      <c r="D17" s="1631"/>
      <c r="E17" s="1631"/>
      <c r="F17" s="1631"/>
      <c r="G17" s="1631"/>
      <c r="I17" s="871"/>
      <c r="K17" s="869"/>
      <c r="L17" s="129"/>
      <c r="M17" s="869"/>
      <c r="O17" s="165">
        <f>+K17-M17</f>
        <v>0</v>
      </c>
      <c r="Q17" s="206">
        <f>IF(I17="G",TCOS!L241,IF(I17="T",1,0))</f>
        <v>0</v>
      </c>
      <c r="S17" s="165">
        <f>ROUND(O17*Q17,0)</f>
        <v>0</v>
      </c>
      <c r="U17" s="872"/>
    </row>
    <row r="18" spans="1:21">
      <c r="A18" s="1"/>
      <c r="D18" s="1631"/>
      <c r="E18" s="1631"/>
      <c r="F18" s="1631"/>
      <c r="G18" s="1631"/>
      <c r="K18" s="129"/>
      <c r="L18" s="129"/>
      <c r="M18" s="129"/>
      <c r="O18" s="129"/>
      <c r="Q18" s="206"/>
      <c r="S18" s="129"/>
    </row>
    <row r="19" spans="1:21">
      <c r="A19" s="1"/>
      <c r="D19" s="1631"/>
      <c r="E19" s="1631"/>
      <c r="F19" s="1631"/>
      <c r="G19" s="1631"/>
      <c r="K19" s="129"/>
      <c r="L19" s="129"/>
      <c r="M19" s="129"/>
      <c r="O19" s="129"/>
      <c r="Q19" s="206"/>
      <c r="S19" s="129"/>
    </row>
    <row r="20" spans="1:21">
      <c r="A20" s="1"/>
      <c r="K20" s="129"/>
      <c r="L20" s="129"/>
      <c r="M20" s="129"/>
      <c r="O20" s="129"/>
      <c r="Q20" s="206"/>
      <c r="S20" s="129"/>
    </row>
    <row r="21" spans="1:21">
      <c r="A21" s="1"/>
      <c r="K21" s="129"/>
      <c r="L21" s="129"/>
      <c r="M21" s="129"/>
      <c r="O21" s="129"/>
      <c r="Q21" s="206"/>
      <c r="S21" s="129"/>
    </row>
    <row r="22" spans="1:21" ht="12" customHeight="1">
      <c r="A22" s="1">
        <f>+A17+1</f>
        <v>2</v>
      </c>
      <c r="B22" s="870"/>
      <c r="D22" s="1631"/>
      <c r="E22" s="1631"/>
      <c r="F22" s="1631"/>
      <c r="G22" s="1631"/>
      <c r="I22" s="871"/>
      <c r="K22" s="869"/>
      <c r="L22" s="129"/>
      <c r="M22" s="869"/>
      <c r="O22" s="165">
        <f>+K22-M22</f>
        <v>0</v>
      </c>
      <c r="Q22" s="206">
        <f>IF(I22="G",TCOS!L241,IF(I22="T",1,0))</f>
        <v>0</v>
      </c>
      <c r="S22" s="165">
        <f>ROUND(O22*Q22,0)</f>
        <v>0</v>
      </c>
      <c r="U22" s="872"/>
    </row>
    <row r="23" spans="1:21">
      <c r="A23" s="1"/>
      <c r="D23" s="1631"/>
      <c r="E23" s="1631"/>
      <c r="F23" s="1631"/>
      <c r="G23" s="1631"/>
      <c r="K23" s="129"/>
      <c r="L23" s="129"/>
      <c r="M23" s="129"/>
      <c r="O23" s="129"/>
      <c r="Q23" s="206"/>
      <c r="S23" s="129"/>
    </row>
    <row r="24" spans="1:21">
      <c r="A24" s="1"/>
      <c r="D24" s="1631"/>
      <c r="E24" s="1631"/>
      <c r="F24" s="1631"/>
      <c r="G24" s="1631"/>
      <c r="K24" s="129"/>
      <c r="L24" s="129"/>
      <c r="M24" s="129"/>
      <c r="O24" s="129"/>
      <c r="Q24" s="206"/>
      <c r="S24" s="129"/>
    </row>
    <row r="25" spans="1:21">
      <c r="A25" s="1"/>
      <c r="I25" s="1"/>
      <c r="K25" s="129"/>
      <c r="L25" s="129"/>
      <c r="M25" s="129"/>
      <c r="O25" s="129"/>
      <c r="Q25" s="206"/>
      <c r="S25" s="129"/>
    </row>
    <row r="26" spans="1:21">
      <c r="A26" s="1"/>
      <c r="I26" s="1"/>
      <c r="K26" s="129"/>
      <c r="L26" s="129"/>
      <c r="M26" s="129"/>
      <c r="O26" s="129"/>
      <c r="Q26" s="206"/>
      <c r="S26" s="129"/>
    </row>
    <row r="27" spans="1:21">
      <c r="A27" s="1">
        <f>+A22+1</f>
        <v>3</v>
      </c>
      <c r="B27" s="870"/>
      <c r="D27" s="1631"/>
      <c r="E27" s="1631"/>
      <c r="F27" s="1631"/>
      <c r="G27" s="1631"/>
      <c r="I27" s="871"/>
      <c r="K27" s="869"/>
      <c r="L27" s="129"/>
      <c r="M27" s="869"/>
      <c r="O27" s="165">
        <f>+K27-M27</f>
        <v>0</v>
      </c>
      <c r="Q27" s="206">
        <f>IF(I27="G",TCOS!L241,IF(I27="T",1,0))</f>
        <v>0</v>
      </c>
      <c r="S27" s="165">
        <f>ROUND(O27*Q27,0)</f>
        <v>0</v>
      </c>
      <c r="U27" s="872"/>
    </row>
    <row r="28" spans="1:21">
      <c r="A28" s="1"/>
      <c r="D28" s="1631"/>
      <c r="E28" s="1631"/>
      <c r="F28" s="1631"/>
      <c r="G28" s="1631"/>
      <c r="K28" s="129"/>
      <c r="L28" s="129"/>
      <c r="M28" s="129"/>
      <c r="O28" s="129"/>
      <c r="Q28" s="206"/>
      <c r="S28" s="129"/>
    </row>
    <row r="29" spans="1:21">
      <c r="A29" s="1"/>
      <c r="D29" s="1631"/>
      <c r="E29" s="1631"/>
      <c r="F29" s="1631"/>
      <c r="G29" s="1631"/>
      <c r="K29" s="129"/>
      <c r="L29" s="129"/>
      <c r="M29" s="129"/>
      <c r="O29" s="129"/>
      <c r="Q29" s="206"/>
    </row>
    <row r="30" spans="1:21">
      <c r="A30" s="1"/>
      <c r="O30" s="129"/>
      <c r="Q30" s="206"/>
    </row>
    <row r="31" spans="1:21">
      <c r="A31" s="1"/>
      <c r="O31" s="129"/>
      <c r="Q31" s="206"/>
    </row>
    <row r="32" spans="1:21">
      <c r="A32" s="1"/>
      <c r="O32" s="129"/>
      <c r="Q32" s="206"/>
    </row>
    <row r="33" spans="1:19" ht="13.5" thickBot="1">
      <c r="A33" s="1">
        <f>+A27+1</f>
        <v>4</v>
      </c>
      <c r="K33" t="str">
        <f>"Net (Gain) or Loss for "&amp;TCOS!L4&amp;""</f>
        <v>Net (Gain) or Loss for 2022</v>
      </c>
      <c r="O33" s="218">
        <f>SUM(O17:O27)</f>
        <v>0</v>
      </c>
      <c r="Q33" s="219"/>
      <c r="S33" s="218">
        <f>SUM(S17:S27)</f>
        <v>0</v>
      </c>
    </row>
    <row r="34" spans="1:19" ht="13.5" thickTop="1">
      <c r="A34" s="1"/>
      <c r="O34" s="129"/>
      <c r="Q34" s="219"/>
    </row>
  </sheetData>
  <mergeCells count="12">
    <mergeCell ref="Q13:Q14"/>
    <mergeCell ref="S13:S14"/>
    <mergeCell ref="D17:G19"/>
    <mergeCell ref="D22:G24"/>
    <mergeCell ref="D27:G29"/>
    <mergeCell ref="A3:O3"/>
    <mergeCell ref="A4:O4"/>
    <mergeCell ref="A5:O5"/>
    <mergeCell ref="I13:I14"/>
    <mergeCell ref="D12:G12"/>
    <mergeCell ref="A6:O6"/>
    <mergeCell ref="A8:O11"/>
  </mergeCells>
  <phoneticPr fontId="95" type="noConversion"/>
  <pageMargins left="0.75" right="0.75" top="1" bottom="1" header="0.75" footer="0.5"/>
  <pageSetup scale="76" orientation="landscape" r:id="rId1"/>
  <headerFooter alignWithMargins="0">
    <oddHeader>&amp;R&amp;"Arial,Bold"Formula Rate 
&amp;A
Page &amp;P of &amp;N</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dimension ref="A1:Q182"/>
  <sheetViews>
    <sheetView view="pageBreakPreview" zoomScale="85" zoomScaleNormal="75" zoomScaleSheetLayoutView="85" workbookViewId="0">
      <selection activeCell="E35" sqref="E35"/>
    </sheetView>
  </sheetViews>
  <sheetFormatPr defaultColWidth="9.140625" defaultRowHeight="12.75"/>
  <cols>
    <col min="1" max="1" width="8.140625" style="1173" customWidth="1"/>
    <col min="2" max="2" width="28.85546875" style="1173" customWidth="1"/>
    <col min="3" max="3" width="17.85546875" style="1173" customWidth="1"/>
    <col min="4" max="4" width="19.42578125" style="1173" customWidth="1"/>
    <col min="5" max="6" width="19.85546875" style="1173" customWidth="1"/>
    <col min="7" max="7" width="21.42578125" style="1173" customWidth="1"/>
    <col min="8" max="9" width="19.85546875" style="1173" customWidth="1"/>
    <col min="10" max="10" width="21.42578125" style="1173" customWidth="1"/>
    <col min="11" max="11" width="18.140625" style="1173" customWidth="1"/>
    <col min="12" max="12" width="22.42578125" style="1173" customWidth="1"/>
    <col min="13" max="13" width="22.140625" style="1173" customWidth="1"/>
    <col min="14" max="14" width="11.140625" style="1173" customWidth="1"/>
    <col min="15" max="15" width="11.42578125" style="1173" bestFit="1" customWidth="1"/>
    <col min="16" max="16" width="12.42578125" style="1173" customWidth="1"/>
    <col min="17" max="17" width="9.140625" style="1173"/>
    <col min="18" max="18" width="10.42578125" style="1173" bestFit="1" customWidth="1"/>
    <col min="19" max="19" width="9.140625" style="1173"/>
    <col min="20" max="20" width="12.85546875" style="1173" customWidth="1"/>
    <col min="21" max="21" width="13.5703125" style="1173" customWidth="1"/>
    <col min="22" max="16384" width="9.140625" style="1173"/>
  </cols>
  <sheetData>
    <row r="1" spans="1:17" ht="15.75">
      <c r="A1" s="1172" t="s">
        <v>114</v>
      </c>
    </row>
    <row r="2" spans="1:17" ht="15.75">
      <c r="A2" s="1172" t="s">
        <v>114</v>
      </c>
    </row>
    <row r="3" spans="1:17" ht="15.75">
      <c r="A3" s="1638" t="s">
        <v>387</v>
      </c>
      <c r="B3" s="1638"/>
      <c r="C3" s="1638"/>
      <c r="D3" s="1638"/>
      <c r="E3" s="1638"/>
      <c r="F3" s="1638"/>
      <c r="G3" s="1638"/>
      <c r="H3" s="1638"/>
      <c r="I3" s="1638"/>
      <c r="J3" s="1638"/>
      <c r="K3" s="1638"/>
      <c r="L3" s="1174"/>
      <c r="M3" s="1174"/>
      <c r="N3" s="1175"/>
      <c r="O3" s="1175"/>
      <c r="P3" s="1175"/>
      <c r="Q3" s="1175"/>
    </row>
    <row r="4" spans="1:17" ht="15.75">
      <c r="A4" s="1639" t="str">
        <f>"Cost of Service Formula Rate Using Actual/Projected FF1 Balances"</f>
        <v>Cost of Service Formula Rate Using Actual/Projected FF1 Balances</v>
      </c>
      <c r="B4" s="1640"/>
      <c r="C4" s="1640"/>
      <c r="D4" s="1640"/>
      <c r="E4" s="1640"/>
      <c r="F4" s="1640"/>
      <c r="G4" s="1640"/>
      <c r="H4" s="1640"/>
      <c r="I4" s="1640"/>
      <c r="J4" s="1640"/>
      <c r="K4" s="1640"/>
      <c r="L4" s="1176"/>
      <c r="M4" s="1178"/>
      <c r="N4" s="1179"/>
      <c r="O4" s="1179"/>
      <c r="P4" s="1179"/>
      <c r="Q4" s="1179"/>
    </row>
    <row r="5" spans="1:17" ht="15.75">
      <c r="A5" s="1641" t="s">
        <v>849</v>
      </c>
      <c r="B5" s="1641"/>
      <c r="C5" s="1641"/>
      <c r="D5" s="1641"/>
      <c r="E5" s="1641"/>
      <c r="F5" s="1641"/>
      <c r="G5" s="1641"/>
      <c r="H5" s="1641"/>
      <c r="I5" s="1641"/>
      <c r="J5" s="1641"/>
      <c r="K5" s="1641"/>
      <c r="L5" s="1176"/>
      <c r="M5" s="1180"/>
      <c r="N5" s="1180"/>
      <c r="O5" s="1180"/>
      <c r="P5" s="1180"/>
      <c r="Q5" s="1180"/>
    </row>
    <row r="6" spans="1:17" ht="15.75">
      <c r="A6" s="1642" t="str">
        <f>TCOS!F9</f>
        <v>WHEELING POWER COMPANY</v>
      </c>
      <c r="B6" s="1642"/>
      <c r="C6" s="1642"/>
      <c r="D6" s="1642"/>
      <c r="E6" s="1642"/>
      <c r="F6" s="1642"/>
      <c r="G6" s="1642"/>
      <c r="H6" s="1642"/>
      <c r="I6" s="1642"/>
      <c r="J6" s="1642"/>
      <c r="K6" s="1642"/>
      <c r="L6" s="1181"/>
      <c r="M6" s="1181"/>
      <c r="N6" s="1182"/>
      <c r="O6" s="1182"/>
      <c r="P6" s="1182"/>
      <c r="Q6" s="1182"/>
    </row>
    <row r="9" spans="1:17">
      <c r="B9" s="1634"/>
      <c r="C9" s="1634"/>
      <c r="D9" s="1634"/>
      <c r="E9" s="1634"/>
      <c r="F9" s="1634"/>
      <c r="G9" s="1634"/>
      <c r="H9" s="1634"/>
      <c r="I9" s="1634"/>
      <c r="J9" s="1634"/>
      <c r="K9" s="1634"/>
      <c r="L9" s="1634"/>
      <c r="M9" s="1634"/>
      <c r="N9" s="1184"/>
      <c r="O9" s="1184"/>
      <c r="P9" s="1184"/>
      <c r="Q9" s="1184"/>
    </row>
    <row r="10" spans="1:17">
      <c r="I10" s="1184"/>
      <c r="J10" s="1184"/>
      <c r="K10" s="1184"/>
      <c r="L10" s="1184"/>
      <c r="M10" s="1184"/>
      <c r="N10" s="1184"/>
      <c r="O10" s="1184"/>
      <c r="P10" s="1184"/>
      <c r="Q10" s="1184"/>
    </row>
    <row r="11" spans="1:17">
      <c r="I11" s="1184"/>
      <c r="J11" s="1184"/>
      <c r="K11" s="1184"/>
      <c r="L11" s="1184"/>
      <c r="M11" s="1184"/>
      <c r="N11" s="1184"/>
      <c r="O11" s="1184"/>
      <c r="P11" s="1184"/>
      <c r="Q11" s="1184"/>
    </row>
    <row r="12" spans="1:17">
      <c r="A12" s="1177">
        <v>1</v>
      </c>
      <c r="B12" s="1173" t="s">
        <v>823</v>
      </c>
      <c r="E12" s="1214">
        <v>52287952</v>
      </c>
      <c r="I12" s="1196"/>
      <c r="J12" s="1184"/>
      <c r="K12" s="1184"/>
      <c r="L12" s="1184"/>
      <c r="M12" s="1184"/>
      <c r="N12" s="1184"/>
      <c r="O12" s="1184"/>
      <c r="P12" s="1184"/>
      <c r="Q12" s="1184"/>
    </row>
    <row r="13" spans="1:17">
      <c r="I13" s="1196"/>
      <c r="J13" s="1184"/>
      <c r="K13" s="1184"/>
      <c r="L13" s="1184"/>
      <c r="M13" s="1184"/>
      <c r="N13" s="1184"/>
      <c r="O13" s="1184"/>
      <c r="P13" s="1184"/>
      <c r="Q13" s="1184"/>
    </row>
    <row r="14" spans="1:17">
      <c r="B14" s="1637" t="str">
        <f>"Allocation of PBOP Settlement Amount for "&amp;TCOS!L4&amp;""</f>
        <v>Allocation of PBOP Settlement Amount for 2022</v>
      </c>
      <c r="C14" s="1637"/>
      <c r="D14" s="1185"/>
      <c r="E14" s="1185"/>
      <c r="F14" s="1185"/>
      <c r="G14" s="1185"/>
      <c r="H14" s="1185"/>
      <c r="I14" s="1185"/>
      <c r="J14" s="1185"/>
      <c r="K14" s="1185"/>
      <c r="L14" s="1185"/>
      <c r="M14" s="1185"/>
      <c r="N14" s="1184"/>
      <c r="O14" s="1184"/>
      <c r="P14" s="1184"/>
      <c r="Q14" s="1184"/>
    </row>
    <row r="15" spans="1:17">
      <c r="C15" s="1634" t="s">
        <v>824</v>
      </c>
      <c r="D15" s="1634"/>
      <c r="E15" s="1634"/>
      <c r="F15" s="1183"/>
      <c r="N15" s="1184"/>
      <c r="O15" s="1184"/>
      <c r="P15" s="1184"/>
      <c r="Q15" s="1184"/>
    </row>
    <row r="16" spans="1:17">
      <c r="B16" s="1196"/>
      <c r="C16" s="1635" t="s">
        <v>825</v>
      </c>
      <c r="D16" s="1635" t="s">
        <v>826</v>
      </c>
      <c r="E16" s="1635" t="s">
        <v>827</v>
      </c>
      <c r="F16" s="1210"/>
      <c r="G16" s="1210"/>
      <c r="H16" s="1210"/>
      <c r="I16" s="1635" t="s">
        <v>828</v>
      </c>
      <c r="N16" s="1184"/>
      <c r="O16" s="1184"/>
      <c r="P16" s="1184"/>
      <c r="Q16" s="1184"/>
    </row>
    <row r="17" spans="1:17" ht="12.75" customHeight="1">
      <c r="C17" s="1632"/>
      <c r="D17" s="1632"/>
      <c r="E17" s="1632"/>
      <c r="F17" s="1635" t="str">
        <f>"Labor Allocator for "&amp;TCOS!L4&amp;""</f>
        <v>Labor Allocator for 2022</v>
      </c>
      <c r="G17" s="1213"/>
      <c r="H17" s="1636" t="s">
        <v>829</v>
      </c>
      <c r="I17" s="1635"/>
      <c r="N17" s="1184"/>
      <c r="O17" s="1184"/>
      <c r="P17" s="1184"/>
      <c r="Q17" s="1184"/>
    </row>
    <row r="18" spans="1:17">
      <c r="A18" s="1186" t="s">
        <v>830</v>
      </c>
      <c r="B18" s="1183" t="s">
        <v>183</v>
      </c>
      <c r="C18" s="1632"/>
      <c r="D18" s="1632"/>
      <c r="E18" s="1632"/>
      <c r="F18" s="1635"/>
      <c r="G18" s="1216" t="s">
        <v>831</v>
      </c>
      <c r="H18" s="1636"/>
      <c r="I18" s="1635"/>
      <c r="N18" s="1184"/>
      <c r="O18" s="1184"/>
      <c r="P18" s="1184"/>
      <c r="Q18" s="1184"/>
    </row>
    <row r="19" spans="1:17">
      <c r="B19" s="1183"/>
      <c r="C19" s="1195"/>
      <c r="D19" s="1195"/>
      <c r="E19" s="1195"/>
      <c r="F19" s="1210"/>
      <c r="G19" s="1213"/>
      <c r="H19" s="1213"/>
      <c r="I19" s="1195"/>
      <c r="N19" s="1184"/>
      <c r="O19" s="1184"/>
      <c r="P19" s="1184"/>
      <c r="Q19" s="1184"/>
    </row>
    <row r="20" spans="1:17">
      <c r="B20" s="1183"/>
      <c r="C20" s="1210" t="s">
        <v>162</v>
      </c>
      <c r="D20" s="1210" t="s">
        <v>832</v>
      </c>
      <c r="E20" s="1211" t="str">
        <f>"(C )=(B) * "&amp;E12&amp;""</f>
        <v>(C )=(B) * 52287952</v>
      </c>
      <c r="F20" s="1210" t="s">
        <v>165</v>
      </c>
      <c r="G20" s="1217" t="s">
        <v>833</v>
      </c>
      <c r="H20" s="1217" t="s">
        <v>834</v>
      </c>
      <c r="I20" s="1211" t="s">
        <v>835</v>
      </c>
      <c r="N20" s="1184"/>
      <c r="O20" s="1184"/>
      <c r="P20" s="1184"/>
      <c r="Q20" s="1184"/>
    </row>
    <row r="21" spans="1:17">
      <c r="B21" s="1183"/>
      <c r="C21" s="1210" t="str">
        <f>"(Line "&amp;A47&amp;")"</f>
        <v>(Line 14)</v>
      </c>
      <c r="D21" s="1210"/>
      <c r="E21" s="1211"/>
      <c r="F21" s="1210"/>
      <c r="G21" s="1213"/>
      <c r="H21" s="1215"/>
      <c r="I21" s="1211"/>
      <c r="N21" s="1184"/>
      <c r="O21" s="1184"/>
      <c r="P21" s="1184"/>
      <c r="Q21" s="1184"/>
    </row>
    <row r="22" spans="1:17">
      <c r="A22" s="1173">
        <v>2</v>
      </c>
      <c r="B22" s="1173" t="s">
        <v>836</v>
      </c>
      <c r="C22" s="1276">
        <f>D47</f>
        <v>-28089628.566056948</v>
      </c>
      <c r="D22" s="1218">
        <f t="shared" ref="D22:D27" si="0">+C22/C$28</f>
        <v>0.35971085900067357</v>
      </c>
      <c r="E22" s="1194">
        <f t="shared" ref="E22:E27" si="1">ROUND(D22*E$28,0)</f>
        <v>18808544</v>
      </c>
      <c r="F22" s="1397">
        <v>0.10696485355506478</v>
      </c>
      <c r="G22" s="1213">
        <f t="shared" ref="G22:G27" si="2">+C22*F22</f>
        <v>-3004603.005984446</v>
      </c>
      <c r="H22" s="1213">
        <f t="shared" ref="H22:H27" si="3">+F22*E22</f>
        <v>2011853.1545439924</v>
      </c>
      <c r="I22" s="1194">
        <f t="shared" ref="I22:I27" si="4">+G22-H22</f>
        <v>-5016456.1605284382</v>
      </c>
      <c r="N22" s="1184"/>
      <c r="O22" s="1184"/>
      <c r="P22" s="1184"/>
      <c r="Q22" s="1184"/>
    </row>
    <row r="23" spans="1:17">
      <c r="A23" s="1173">
        <f t="shared" ref="A23:A28" si="5">+A22+1</f>
        <v>3</v>
      </c>
      <c r="B23" s="1173" t="s">
        <v>837</v>
      </c>
      <c r="C23" s="1276">
        <f>F47</f>
        <v>-20588132.712423295</v>
      </c>
      <c r="D23" s="1218">
        <f t="shared" si="0"/>
        <v>0.2636480181925463</v>
      </c>
      <c r="E23" s="1194">
        <f t="shared" si="1"/>
        <v>13785615</v>
      </c>
      <c r="F23" s="1397">
        <v>5.105439559209695E-2</v>
      </c>
      <c r="G23" s="1213">
        <f t="shared" si="2"/>
        <v>-1051114.6720026508</v>
      </c>
      <c r="H23" s="1213">
        <f t="shared" si="3"/>
        <v>703816.24169034557</v>
      </c>
      <c r="I23" s="1194">
        <f t="shared" si="4"/>
        <v>-1754930.9136929964</v>
      </c>
      <c r="N23" s="1184"/>
      <c r="O23" s="1184"/>
      <c r="P23" s="1184"/>
      <c r="Q23" s="1184"/>
    </row>
    <row r="24" spans="1:17">
      <c r="A24" s="1173">
        <f t="shared" si="5"/>
        <v>4</v>
      </c>
      <c r="B24" s="1173" t="s">
        <v>838</v>
      </c>
      <c r="C24" s="1276">
        <f>G47</f>
        <v>-6450809.7209908422</v>
      </c>
      <c r="D24" s="1218">
        <f t="shared" si="0"/>
        <v>8.2607938390167127E-2</v>
      </c>
      <c r="E24" s="1194">
        <f t="shared" si="1"/>
        <v>4319400</v>
      </c>
      <c r="F24" s="1397">
        <v>9.8263412081474752E-2</v>
      </c>
      <c r="G24" s="1213">
        <f t="shared" si="2"/>
        <v>-633878.57387290627</v>
      </c>
      <c r="H24" s="1213">
        <f t="shared" si="3"/>
        <v>424438.98214472202</v>
      </c>
      <c r="I24" s="1194">
        <f t="shared" si="4"/>
        <v>-1058317.5560176284</v>
      </c>
      <c r="N24" s="1184"/>
      <c r="O24" s="1184"/>
      <c r="P24" s="1184"/>
      <c r="Q24" s="1184"/>
    </row>
    <row r="25" spans="1:17">
      <c r="A25" s="1173">
        <f t="shared" si="5"/>
        <v>5</v>
      </c>
      <c r="B25" s="1173" t="s">
        <v>839</v>
      </c>
      <c r="C25" s="1276">
        <f>H47</f>
        <v>-701394.5378321592</v>
      </c>
      <c r="D25" s="1218">
        <f t="shared" si="0"/>
        <v>8.9819354894162141E-3</v>
      </c>
      <c r="E25" s="1194">
        <f t="shared" si="1"/>
        <v>469647</v>
      </c>
      <c r="F25" s="1397">
        <v>8.9987662007902425E-2</v>
      </c>
      <c r="G25" s="1213">
        <f t="shared" si="2"/>
        <v>-63116.854604629276</v>
      </c>
      <c r="H25" s="1213">
        <f t="shared" si="3"/>
        <v>42262.435499025349</v>
      </c>
      <c r="I25" s="1194">
        <f t="shared" si="4"/>
        <v>-105379.29010365462</v>
      </c>
      <c r="N25" s="1184"/>
      <c r="O25" s="1184"/>
      <c r="P25" s="1184"/>
      <c r="Q25" s="1184"/>
    </row>
    <row r="26" spans="1:17">
      <c r="A26" s="1173">
        <f t="shared" si="5"/>
        <v>6</v>
      </c>
      <c r="B26" s="1173" t="s">
        <v>840</v>
      </c>
      <c r="C26" s="1276">
        <f>I47</f>
        <v>-20853937.977060094</v>
      </c>
      <c r="D26" s="1218">
        <f t="shared" si="0"/>
        <v>0.26705187381294215</v>
      </c>
      <c r="E26" s="1194">
        <f t="shared" si="1"/>
        <v>13963596</v>
      </c>
      <c r="F26" s="1397">
        <v>0.12482293879834047</v>
      </c>
      <c r="G26" s="1213">
        <f t="shared" si="2"/>
        <v>-2603049.8238149602</v>
      </c>
      <c r="H26" s="1213">
        <f t="shared" si="3"/>
        <v>1742977.0889127518</v>
      </c>
      <c r="I26" s="1194">
        <f t="shared" si="4"/>
        <v>-4346026.9127277117</v>
      </c>
      <c r="N26" s="1184"/>
      <c r="O26" s="1184"/>
      <c r="P26" s="1184"/>
      <c r="Q26" s="1184"/>
    </row>
    <row r="27" spans="1:17">
      <c r="A27" s="1173">
        <f t="shared" si="5"/>
        <v>7</v>
      </c>
      <c r="B27" s="1173" t="s">
        <v>841</v>
      </c>
      <c r="C27" s="1288">
        <f>J47</f>
        <v>-1405561.5746078787</v>
      </c>
      <c r="D27" s="1218">
        <f t="shared" si="0"/>
        <v>1.7999375114254555E-2</v>
      </c>
      <c r="E27" s="1219">
        <f t="shared" si="1"/>
        <v>941150</v>
      </c>
      <c r="F27" s="1398">
        <v>2.8892087136203521E-2</v>
      </c>
      <c r="G27" s="1220">
        <f t="shared" si="2"/>
        <v>-40609.607488870257</v>
      </c>
      <c r="H27" s="1220">
        <f t="shared" si="3"/>
        <v>27191.787808237943</v>
      </c>
      <c r="I27" s="1219">
        <f t="shared" si="4"/>
        <v>-67801.395297108204</v>
      </c>
      <c r="N27" s="1184"/>
      <c r="O27" s="1184"/>
      <c r="P27" s="1184"/>
      <c r="Q27" s="1184"/>
    </row>
    <row r="28" spans="1:17">
      <c r="A28" s="1173">
        <f t="shared" si="5"/>
        <v>8</v>
      </c>
      <c r="B28" s="1183" t="str">
        <f>"Sum of Lines "&amp;A22&amp;" to "&amp;A27&amp;""</f>
        <v>Sum of Lines 2 to 7</v>
      </c>
      <c r="C28" s="1194">
        <f>SUM(C22:C27)</f>
        <v>-78089465.088971227</v>
      </c>
      <c r="E28" s="1213">
        <f>+E12</f>
        <v>52287952</v>
      </c>
      <c r="F28" s="1213"/>
      <c r="G28" s="1213">
        <f>SUM(G22:G27)</f>
        <v>-7396372.5377684627</v>
      </c>
      <c r="H28" s="1213">
        <f>SUM(H22:H27)</f>
        <v>4952539.6905990746</v>
      </c>
      <c r="I28" s="1213">
        <f>SUM(I22:I27)</f>
        <v>-12348912.228367535</v>
      </c>
      <c r="N28" s="1184"/>
      <c r="O28" s="1184"/>
      <c r="P28" s="1184"/>
      <c r="Q28" s="1184"/>
    </row>
    <row r="29" spans="1:17">
      <c r="C29" s="1194"/>
      <c r="N29" s="1184"/>
      <c r="O29" s="1184"/>
      <c r="P29" s="1184"/>
      <c r="Q29" s="1184"/>
    </row>
    <row r="30" spans="1:17">
      <c r="I30" s="1196"/>
      <c r="N30" s="1184"/>
      <c r="O30" s="1184"/>
      <c r="P30" s="1184"/>
      <c r="Q30" s="1184"/>
    </row>
    <row r="31" spans="1:17">
      <c r="I31" s="1196"/>
      <c r="J31" s="1184"/>
      <c r="K31" s="1184"/>
      <c r="L31" s="1184"/>
      <c r="M31" s="1184"/>
      <c r="N31" s="1184"/>
      <c r="O31" s="1184"/>
      <c r="P31" s="1184"/>
      <c r="Q31" s="1184"/>
    </row>
    <row r="32" spans="1:17">
      <c r="I32" s="1196"/>
      <c r="J32" s="1184"/>
      <c r="K32" s="1184"/>
      <c r="L32" s="1184"/>
      <c r="M32" s="1184"/>
      <c r="N32" s="1184"/>
      <c r="O32" s="1184"/>
      <c r="P32" s="1184"/>
      <c r="Q32" s="1184"/>
    </row>
    <row r="33" spans="1:17">
      <c r="B33" s="1186" t="s">
        <v>850</v>
      </c>
      <c r="F33" s="1187"/>
      <c r="I33" s="1196"/>
      <c r="J33" s="1184"/>
      <c r="K33" s="1184"/>
      <c r="L33" s="1184"/>
      <c r="M33" s="1184"/>
      <c r="N33" s="1184"/>
      <c r="O33" s="1184"/>
      <c r="P33" s="1184"/>
      <c r="Q33" s="1184"/>
    </row>
    <row r="34" spans="1:17">
      <c r="E34" s="1187"/>
      <c r="I34" s="1188"/>
      <c r="J34" s="1184"/>
      <c r="K34" s="1184"/>
      <c r="L34" s="1184"/>
      <c r="M34" s="1184"/>
      <c r="N34" s="1184"/>
      <c r="O34" s="1184"/>
      <c r="P34" s="1184"/>
      <c r="Q34" s="1184"/>
    </row>
    <row r="35" spans="1:17">
      <c r="D35" s="1189" t="s">
        <v>836</v>
      </c>
      <c r="E35" s="1190"/>
      <c r="F35" s="1189" t="s">
        <v>837</v>
      </c>
      <c r="G35" s="1189" t="s">
        <v>838</v>
      </c>
      <c r="H35" s="1189" t="s">
        <v>842</v>
      </c>
      <c r="I35" s="1191" t="s">
        <v>840</v>
      </c>
      <c r="J35" s="1191" t="s">
        <v>841</v>
      </c>
      <c r="K35" s="1191" t="s">
        <v>843</v>
      </c>
      <c r="L35" s="1184"/>
      <c r="M35" s="1184"/>
      <c r="N35" s="1184"/>
      <c r="O35" s="1184"/>
      <c r="P35" s="1184"/>
      <c r="Q35" s="1184"/>
    </row>
    <row r="36" spans="1:17">
      <c r="E36" s="1192"/>
      <c r="I36" s="1184"/>
      <c r="J36" s="1184"/>
      <c r="K36" s="1184"/>
      <c r="L36" s="1184"/>
      <c r="M36" s="1184"/>
      <c r="N36" s="1184"/>
      <c r="O36" s="1184"/>
      <c r="P36" s="1184"/>
      <c r="Q36" s="1184"/>
    </row>
    <row r="37" spans="1:17">
      <c r="A37" s="1173">
        <f>+A28+1</f>
        <v>9</v>
      </c>
      <c r="B37" s="1173" t="s">
        <v>844</v>
      </c>
      <c r="D37" s="1389">
        <v>-21859873</v>
      </c>
      <c r="E37" s="1277"/>
      <c r="F37" s="1389">
        <v>-19100585</v>
      </c>
      <c r="G37" s="1389">
        <v>-5508250</v>
      </c>
      <c r="H37" s="1389">
        <v>-496558</v>
      </c>
      <c r="I37" s="1389">
        <v>-15463318</v>
      </c>
      <c r="J37" s="1389">
        <v>-606467</v>
      </c>
      <c r="K37" s="1193">
        <f>SUM(D37:J37)</f>
        <v>-63035051</v>
      </c>
      <c r="L37" s="1184" t="s">
        <v>114</v>
      </c>
      <c r="M37" s="1184"/>
      <c r="N37" s="1184"/>
      <c r="O37" s="1184"/>
      <c r="P37" s="1184"/>
      <c r="Q37" s="1184"/>
    </row>
    <row r="38" spans="1:17">
      <c r="D38" s="1194"/>
      <c r="E38" s="1192"/>
      <c r="F38" s="1194"/>
      <c r="G38" s="1194"/>
      <c r="H38" s="1194"/>
      <c r="I38" s="1194"/>
      <c r="J38" s="1194"/>
    </row>
    <row r="39" spans="1:17">
      <c r="A39" s="1173">
        <f>+A37+1</f>
        <v>10</v>
      </c>
      <c r="B39" s="1632" t="s">
        <v>845</v>
      </c>
      <c r="C39" s="1632"/>
      <c r="D39" s="1389">
        <v>672186.22299999744</v>
      </c>
      <c r="E39" s="1277"/>
      <c r="F39" s="1389">
        <v>2408275.3649999965</v>
      </c>
      <c r="G39" s="1389">
        <v>581811.02999999933</v>
      </c>
      <c r="H39" s="1389">
        <v>2.9999999795109034E-2</v>
      </c>
      <c r="I39" s="1389">
        <v>2.9999999329447746E-2</v>
      </c>
      <c r="J39" s="1389">
        <v>-539281.00000000047</v>
      </c>
      <c r="K39" s="1193"/>
      <c r="L39" s="1184"/>
      <c r="M39" s="1184"/>
      <c r="N39" s="1184"/>
      <c r="O39" s="1184"/>
      <c r="P39" s="1184"/>
      <c r="Q39" s="1184"/>
    </row>
    <row r="40" spans="1:17">
      <c r="B40" s="1632"/>
      <c r="C40" s="1632"/>
      <c r="D40" s="1187"/>
      <c r="E40" s="1192"/>
      <c r="F40" s="1187"/>
      <c r="G40" s="1187"/>
      <c r="H40" s="1187"/>
      <c r="I40" s="1187"/>
      <c r="J40" s="1187"/>
      <c r="K40" s="1196"/>
      <c r="L40" s="1184"/>
      <c r="M40" s="1184"/>
      <c r="N40" s="1184"/>
      <c r="O40" s="1184"/>
      <c r="P40" s="1184"/>
      <c r="Q40" s="1184"/>
    </row>
    <row r="41" spans="1:17">
      <c r="A41" s="1173">
        <f>+A39+1</f>
        <v>11</v>
      </c>
      <c r="B41" s="1173" t="s">
        <v>846</v>
      </c>
      <c r="D41" s="1389"/>
      <c r="E41" s="1277"/>
      <c r="F41" s="1389"/>
      <c r="G41" s="1389"/>
      <c r="H41" s="1389"/>
      <c r="I41" s="1389"/>
      <c r="J41" s="1389"/>
      <c r="K41" s="1193">
        <f>SUM(D41:J41)</f>
        <v>0</v>
      </c>
      <c r="L41" s="1184"/>
      <c r="M41" s="1184"/>
      <c r="N41" s="1184"/>
      <c r="O41" s="1184"/>
      <c r="P41" s="1184"/>
      <c r="Q41" s="1184"/>
    </row>
    <row r="42" spans="1:17">
      <c r="D42" s="1197"/>
      <c r="E42" s="1198"/>
      <c r="F42" s="1197"/>
      <c r="G42" s="1197"/>
      <c r="H42" s="1197"/>
      <c r="I42" s="1199"/>
      <c r="J42" s="1199"/>
      <c r="K42" s="1200"/>
      <c r="L42" s="1184"/>
      <c r="M42" s="1184"/>
      <c r="N42" s="1184"/>
      <c r="O42" s="1184"/>
      <c r="P42" s="1184"/>
      <c r="Q42" s="1184"/>
    </row>
    <row r="43" spans="1:17">
      <c r="A43" s="1173">
        <f>+A41+1</f>
        <v>12</v>
      </c>
      <c r="B43" s="1173" t="str">
        <f>"Net Company Expense (Ln "&amp;A37&amp;" + Ln "&amp;A39&amp;" + Ln  "&amp;A41&amp;")"</f>
        <v>Net Company Expense (Ln 9 + Ln 10 + Ln  11)</v>
      </c>
      <c r="D43" s="1187">
        <f t="shared" ref="D43:J43" si="6">+D37+D41+D39</f>
        <v>-21187686.777000003</v>
      </c>
      <c r="E43" s="1201"/>
      <c r="F43" s="1187">
        <f t="shared" si="6"/>
        <v>-16692309.635000004</v>
      </c>
      <c r="G43" s="1187">
        <f t="shared" si="6"/>
        <v>-4926438.9700000007</v>
      </c>
      <c r="H43" s="1187">
        <f t="shared" si="6"/>
        <v>-496557.9700000002</v>
      </c>
      <c r="I43" s="1187">
        <f t="shared" si="6"/>
        <v>-15463317.970000001</v>
      </c>
      <c r="J43" s="1187">
        <f t="shared" si="6"/>
        <v>-1145748.0000000005</v>
      </c>
      <c r="K43" s="1193">
        <f>SUM(D43:J43)</f>
        <v>-59912059.322000004</v>
      </c>
      <c r="L43" s="1184"/>
      <c r="M43" s="1184"/>
      <c r="N43" s="1184"/>
      <c r="O43" s="1184"/>
      <c r="P43" s="1184"/>
      <c r="Q43" s="1184"/>
    </row>
    <row r="44" spans="1:17">
      <c r="E44" s="1192"/>
      <c r="G44" s="1187">
        <f>+G40+G42</f>
        <v>0</v>
      </c>
      <c r="I44" s="1184"/>
      <c r="J44" s="1184"/>
      <c r="K44" s="1196"/>
      <c r="L44" s="1202"/>
      <c r="M44" s="1184"/>
      <c r="N44" s="1184"/>
      <c r="O44" s="1184"/>
      <c r="P44" s="1184"/>
      <c r="Q44" s="1184"/>
    </row>
    <row r="45" spans="1:17">
      <c r="A45" s="1173">
        <f>+A43+1</f>
        <v>13</v>
      </c>
      <c r="B45" s="1632" t="s">
        <v>847</v>
      </c>
      <c r="C45" s="1632"/>
      <c r="D45" s="1389">
        <v>-6901941.7890569456</v>
      </c>
      <c r="E45" s="1277"/>
      <c r="F45" s="1389">
        <v>-3895823.0774232922</v>
      </c>
      <c r="G45" s="1389">
        <v>-1524370.7509908418</v>
      </c>
      <c r="H45" s="1389">
        <v>-204836.56783215897</v>
      </c>
      <c r="I45" s="1389">
        <v>-5390620.0070600919</v>
      </c>
      <c r="J45" s="1389">
        <v>-259813.57460787817</v>
      </c>
      <c r="K45" s="1193">
        <f>SUM(D45:J45)</f>
        <v>-18177405.766971208</v>
      </c>
      <c r="L45" s="1203" t="s">
        <v>114</v>
      </c>
      <c r="M45" s="1184"/>
      <c r="N45" s="1184"/>
      <c r="O45" s="1184"/>
      <c r="P45" s="1184"/>
      <c r="Q45" s="1184"/>
    </row>
    <row r="46" spans="1:17">
      <c r="B46" s="1632"/>
      <c r="C46" s="1632"/>
      <c r="D46" s="1204"/>
      <c r="E46" s="1192"/>
      <c r="I46" s="1184"/>
      <c r="J46" s="1184"/>
      <c r="K46" s="1196"/>
      <c r="L46" s="1184"/>
      <c r="M46" s="1184"/>
      <c r="N46" s="1184"/>
      <c r="O46" s="1184"/>
      <c r="P46" s="1184"/>
      <c r="Q46" s="1184"/>
    </row>
    <row r="47" spans="1:17" ht="13.5" thickBot="1">
      <c r="A47" s="1173">
        <f>+A45+1</f>
        <v>14</v>
      </c>
      <c r="B47" s="1173" t="str">
        <f>"Company PBOP Expense (Ln "&amp;A43&amp;" + Ln  "&amp;A45&amp;")"</f>
        <v>Company PBOP Expense (Ln 12 + Ln  13)</v>
      </c>
      <c r="D47" s="1205">
        <f>+D45+D41+D39+D37</f>
        <v>-28089628.566056948</v>
      </c>
      <c r="E47" s="1206"/>
      <c r="F47" s="1205">
        <f>+F45+F41+F39+F37</f>
        <v>-20588132.712423295</v>
      </c>
      <c r="G47" s="1205">
        <f>+G45+G41+G39+G37</f>
        <v>-6450809.7209908422</v>
      </c>
      <c r="H47" s="1205">
        <f>+H45+H41+H39+H37</f>
        <v>-701394.5378321592</v>
      </c>
      <c r="I47" s="1205">
        <f>+I45+I41+I39+I37</f>
        <v>-20853937.977060094</v>
      </c>
      <c r="J47" s="1205">
        <f>+J45+J41+J39+J37</f>
        <v>-1405561.5746078787</v>
      </c>
      <c r="K47" s="1207">
        <f>SUM(D47:J47)</f>
        <v>-78089465.088971227</v>
      </c>
      <c r="L47" s="1184"/>
      <c r="M47" s="1184"/>
      <c r="N47" s="1184"/>
      <c r="O47" s="1184"/>
      <c r="P47" s="1184"/>
      <c r="Q47" s="1184"/>
    </row>
    <row r="48" spans="1:17" ht="13.5" thickTop="1">
      <c r="I48" s="1184"/>
      <c r="J48" s="1184"/>
      <c r="K48" s="1184"/>
      <c r="L48" s="1184"/>
      <c r="M48" s="1184"/>
      <c r="N48" s="1184"/>
      <c r="O48" s="1184"/>
      <c r="P48" s="1184"/>
      <c r="Q48" s="1184"/>
    </row>
    <row r="49" spans="1:17">
      <c r="A49" s="1633" t="s">
        <v>848</v>
      </c>
      <c r="B49" s="1633"/>
      <c r="C49" s="1633"/>
      <c r="D49" s="1633"/>
      <c r="E49" s="1633"/>
      <c r="F49" s="1633"/>
      <c r="G49" s="1633"/>
      <c r="H49" s="1633"/>
      <c r="I49" s="1633"/>
      <c r="J49" s="1633"/>
      <c r="K49" s="1633"/>
      <c r="L49" s="1208"/>
      <c r="M49" s="1184"/>
      <c r="N49" s="1184"/>
      <c r="O49" s="1184"/>
      <c r="P49" s="1184"/>
      <c r="Q49" s="1184"/>
    </row>
    <row r="50" spans="1:17">
      <c r="A50" s="1633"/>
      <c r="B50" s="1633"/>
      <c r="C50" s="1633"/>
      <c r="D50" s="1633"/>
      <c r="E50" s="1633"/>
      <c r="F50" s="1633"/>
      <c r="G50" s="1633"/>
      <c r="H50" s="1633"/>
      <c r="I50" s="1633"/>
      <c r="J50" s="1633"/>
      <c r="K50" s="1633"/>
      <c r="L50" s="1184"/>
      <c r="M50" s="1184"/>
      <c r="N50" s="1184"/>
      <c r="O50" s="1184"/>
      <c r="P50" s="1184"/>
      <c r="Q50" s="1184"/>
    </row>
    <row r="51" spans="1:17">
      <c r="A51" s="1633"/>
      <c r="B51" s="1633"/>
      <c r="C51" s="1633"/>
      <c r="D51" s="1633"/>
      <c r="E51" s="1633"/>
      <c r="F51" s="1633"/>
      <c r="G51" s="1633"/>
      <c r="H51" s="1633"/>
      <c r="I51" s="1633"/>
      <c r="J51" s="1633"/>
      <c r="K51" s="1633"/>
      <c r="L51" s="1184"/>
      <c r="M51" s="1184"/>
      <c r="N51" s="1184"/>
      <c r="O51" s="1184"/>
      <c r="P51" s="1184"/>
      <c r="Q51" s="1184"/>
    </row>
    <row r="52" spans="1:17">
      <c r="A52" s="1633"/>
      <c r="B52" s="1633"/>
      <c r="C52" s="1633"/>
      <c r="D52" s="1633"/>
      <c r="E52" s="1633"/>
      <c r="F52" s="1633"/>
      <c r="G52" s="1633"/>
      <c r="H52" s="1633"/>
      <c r="I52" s="1633"/>
      <c r="J52" s="1633"/>
      <c r="K52" s="1633"/>
      <c r="Q52" s="1184"/>
    </row>
    <row r="53" spans="1:17">
      <c r="A53" s="1633"/>
      <c r="B53" s="1633"/>
      <c r="C53" s="1633"/>
      <c r="D53" s="1633"/>
      <c r="E53" s="1633"/>
      <c r="F53" s="1633"/>
      <c r="G53" s="1633"/>
      <c r="H53" s="1633"/>
      <c r="I53" s="1633"/>
      <c r="J53" s="1633"/>
      <c r="K53" s="1633"/>
      <c r="Q53" s="1184"/>
    </row>
    <row r="54" spans="1:17">
      <c r="A54" s="1633"/>
      <c r="B54" s="1633"/>
      <c r="C54" s="1633"/>
      <c r="D54" s="1633"/>
      <c r="E54" s="1633"/>
      <c r="F54" s="1633"/>
      <c r="G54" s="1633"/>
      <c r="H54" s="1633"/>
      <c r="I54" s="1633"/>
      <c r="J54" s="1633"/>
      <c r="K54" s="1633"/>
      <c r="Q54" s="1184"/>
    </row>
    <row r="55" spans="1:17">
      <c r="A55" s="1633"/>
      <c r="B55" s="1633"/>
      <c r="C55" s="1633"/>
      <c r="D55" s="1633"/>
      <c r="E55" s="1633"/>
      <c r="F55" s="1633"/>
      <c r="G55" s="1633"/>
      <c r="H55" s="1633"/>
      <c r="I55" s="1633"/>
      <c r="J55" s="1633"/>
      <c r="K55" s="1633"/>
      <c r="Q55" s="1184"/>
    </row>
    <row r="56" spans="1:17">
      <c r="A56" s="1633"/>
      <c r="B56" s="1633"/>
      <c r="C56" s="1633"/>
      <c r="D56" s="1633"/>
      <c r="E56" s="1633"/>
      <c r="F56" s="1633"/>
      <c r="G56" s="1633"/>
      <c r="H56" s="1633"/>
      <c r="I56" s="1633"/>
      <c r="J56" s="1633"/>
      <c r="K56" s="1633"/>
      <c r="Q56" s="1184"/>
    </row>
    <row r="57" spans="1:17">
      <c r="A57" s="1633"/>
      <c r="B57" s="1633"/>
      <c r="C57" s="1633"/>
      <c r="D57" s="1633"/>
      <c r="E57" s="1633"/>
      <c r="F57" s="1633"/>
      <c r="G57" s="1633"/>
      <c r="H57" s="1633"/>
      <c r="I57" s="1633"/>
      <c r="J57" s="1633"/>
      <c r="K57" s="1633"/>
      <c r="Q57" s="1184"/>
    </row>
    <row r="58" spans="1:17">
      <c r="Q58" s="1209"/>
    </row>
    <row r="59" spans="1:17" ht="12.75" customHeight="1">
      <c r="G59" s="1197"/>
      <c r="L59" s="1204"/>
    </row>
    <row r="60" spans="1:17" ht="12.75" customHeight="1"/>
    <row r="61" spans="1:17" ht="12.75" customHeight="1"/>
    <row r="77" spans="13:13">
      <c r="M77" s="1194"/>
    </row>
    <row r="78" spans="13:13">
      <c r="M78" s="1210"/>
    </row>
    <row r="79" spans="13:13">
      <c r="M79" s="1195"/>
    </row>
    <row r="80" spans="13:13" ht="12.75" customHeight="1">
      <c r="M80" s="1195"/>
    </row>
    <row r="81" spans="13:13">
      <c r="M81" s="1195"/>
    </row>
    <row r="82" spans="13:13">
      <c r="M82" s="1195"/>
    </row>
    <row r="83" spans="13:13">
      <c r="M83" s="1211"/>
    </row>
    <row r="84" spans="13:13">
      <c r="M84" s="1211"/>
    </row>
    <row r="85" spans="13:13">
      <c r="M85" s="1194"/>
    </row>
    <row r="86" spans="13:13">
      <c r="M86" s="1194"/>
    </row>
    <row r="87" spans="13:13">
      <c r="M87" s="1194"/>
    </row>
    <row r="88" spans="13:13">
      <c r="M88" s="1194"/>
    </row>
    <row r="89" spans="13:13">
      <c r="M89" s="1194"/>
    </row>
    <row r="90" spans="13:13">
      <c r="M90" s="1194"/>
    </row>
    <row r="91" spans="13:13">
      <c r="M91" s="1212"/>
    </row>
    <row r="92" spans="13:13">
      <c r="M92" s="1213"/>
    </row>
    <row r="94" spans="13:13">
      <c r="M94" s="1194"/>
    </row>
    <row r="99" spans="13:13">
      <c r="M99" s="1194"/>
    </row>
    <row r="100" spans="13:13">
      <c r="M100" s="1210"/>
    </row>
    <row r="101" spans="13:13">
      <c r="M101" s="1195"/>
    </row>
    <row r="102" spans="13:13" ht="12.75" customHeight="1">
      <c r="M102" s="1195"/>
    </row>
    <row r="103" spans="13:13">
      <c r="M103" s="1195"/>
    </row>
    <row r="104" spans="13:13">
      <c r="M104" s="1195"/>
    </row>
    <row r="105" spans="13:13">
      <c r="M105" s="1211"/>
    </row>
    <row r="106" spans="13:13">
      <c r="M106" s="1211"/>
    </row>
    <row r="107" spans="13:13">
      <c r="M107" s="1194"/>
    </row>
    <row r="108" spans="13:13">
      <c r="M108" s="1194"/>
    </row>
    <row r="109" spans="13:13">
      <c r="M109" s="1194"/>
    </row>
    <row r="110" spans="13:13">
      <c r="M110" s="1194"/>
    </row>
    <row r="111" spans="13:13">
      <c r="M111" s="1194"/>
    </row>
    <row r="112" spans="13:13">
      <c r="M112" s="1194"/>
    </row>
    <row r="113" spans="13:13">
      <c r="M113" s="1212"/>
    </row>
    <row r="114" spans="13:13">
      <c r="M114" s="1213"/>
    </row>
    <row r="116" spans="13:13">
      <c r="M116" s="1194"/>
    </row>
    <row r="121" spans="13:13">
      <c r="M121" s="1194"/>
    </row>
    <row r="122" spans="13:13">
      <c r="M122" s="1210"/>
    </row>
    <row r="123" spans="13:13">
      <c r="M123" s="1195"/>
    </row>
    <row r="124" spans="13:13" ht="12.75" customHeight="1">
      <c r="M124" s="1195"/>
    </row>
    <row r="125" spans="13:13">
      <c r="M125" s="1195"/>
    </row>
    <row r="126" spans="13:13">
      <c r="M126" s="1195"/>
    </row>
    <row r="127" spans="13:13">
      <c r="M127" s="1211"/>
    </row>
    <row r="128" spans="13:13">
      <c r="M128" s="1211"/>
    </row>
    <row r="129" spans="13:13">
      <c r="M129" s="1194"/>
    </row>
    <row r="130" spans="13:13">
      <c r="M130" s="1194"/>
    </row>
    <row r="131" spans="13:13">
      <c r="M131" s="1194"/>
    </row>
    <row r="132" spans="13:13">
      <c r="M132" s="1194"/>
    </row>
    <row r="133" spans="13:13">
      <c r="M133" s="1194"/>
    </row>
    <row r="134" spans="13:13">
      <c r="M134" s="1194"/>
    </row>
    <row r="135" spans="13:13">
      <c r="M135" s="1212"/>
    </row>
    <row r="136" spans="13:13">
      <c r="M136" s="1213"/>
    </row>
    <row r="138" spans="13:13">
      <c r="M138" s="1194"/>
    </row>
    <row r="143" spans="13:13">
      <c r="M143" s="1194"/>
    </row>
    <row r="144" spans="13:13">
      <c r="M144" s="1210"/>
    </row>
    <row r="145" spans="13:13">
      <c r="M145" s="1195"/>
    </row>
    <row r="146" spans="13:13" ht="12.75" customHeight="1">
      <c r="M146" s="1195"/>
    </row>
    <row r="147" spans="13:13">
      <c r="M147" s="1195"/>
    </row>
    <row r="148" spans="13:13">
      <c r="M148" s="1195"/>
    </row>
    <row r="149" spans="13:13">
      <c r="M149" s="1211"/>
    </row>
    <row r="150" spans="13:13">
      <c r="M150" s="1211"/>
    </row>
    <row r="151" spans="13:13">
      <c r="M151" s="1194"/>
    </row>
    <row r="152" spans="13:13">
      <c r="M152" s="1194"/>
    </row>
    <row r="153" spans="13:13">
      <c r="M153" s="1194"/>
    </row>
    <row r="154" spans="13:13">
      <c r="M154" s="1194"/>
    </row>
    <row r="155" spans="13:13">
      <c r="M155" s="1194"/>
    </row>
    <row r="156" spans="13:13">
      <c r="M156" s="1194"/>
    </row>
    <row r="157" spans="13:13">
      <c r="M157" s="1212"/>
    </row>
    <row r="158" spans="13:13">
      <c r="M158" s="1213"/>
    </row>
    <row r="160" spans="13:13">
      <c r="M160" s="1194"/>
    </row>
    <row r="165" spans="13:13">
      <c r="M165" s="1194"/>
    </row>
    <row r="166" spans="13:13">
      <c r="M166" s="1210"/>
    </row>
    <row r="167" spans="13:13" ht="12.75" customHeight="1">
      <c r="M167" s="1195"/>
    </row>
    <row r="168" spans="13:13" ht="12.75" customHeight="1">
      <c r="M168" s="1195"/>
    </row>
    <row r="169" spans="13:13">
      <c r="M169" s="1195"/>
    </row>
    <row r="170" spans="13:13" ht="12.75" customHeight="1">
      <c r="M170" s="1195"/>
    </row>
    <row r="171" spans="13:13">
      <c r="M171" s="1211"/>
    </row>
    <row r="172" spans="13:13">
      <c r="M172" s="1211"/>
    </row>
    <row r="173" spans="13:13">
      <c r="M173" s="1194"/>
    </row>
    <row r="174" spans="13:13">
      <c r="M174" s="1194"/>
    </row>
    <row r="175" spans="13:13">
      <c r="M175" s="1194"/>
    </row>
    <row r="176" spans="13:13">
      <c r="M176" s="1194"/>
    </row>
    <row r="177" spans="13:13">
      <c r="M177" s="1194"/>
    </row>
    <row r="178" spans="13:13">
      <c r="M178" s="1194"/>
    </row>
    <row r="179" spans="13:13">
      <c r="M179" s="1212"/>
    </row>
    <row r="180" spans="13:13">
      <c r="M180" s="1213"/>
    </row>
    <row r="182" spans="13:13">
      <c r="M182" s="1194"/>
    </row>
  </sheetData>
  <mergeCells count="16">
    <mergeCell ref="B14:C14"/>
    <mergeCell ref="A3:K3"/>
    <mergeCell ref="A4:K4"/>
    <mergeCell ref="A5:K5"/>
    <mergeCell ref="A6:K6"/>
    <mergeCell ref="B9:M9"/>
    <mergeCell ref="B39:C40"/>
    <mergeCell ref="B45:C46"/>
    <mergeCell ref="A49:K57"/>
    <mergeCell ref="C15:E15"/>
    <mergeCell ref="C16:C18"/>
    <mergeCell ref="D16:D18"/>
    <mergeCell ref="E16:E18"/>
    <mergeCell ref="I16:I18"/>
    <mergeCell ref="F17:F18"/>
    <mergeCell ref="H17:H18"/>
  </mergeCells>
  <pageMargins left="0.32" right="0.25" top="1" bottom="0.43" header="0.75" footer="0.17"/>
  <pageSetup scale="63" orientation="landscape" r:id="rId1"/>
  <headerFooter alignWithMargins="0">
    <oddHeader>&amp;R&amp;"Arial,Bold"Formula Rate 
&amp;A
Page &amp;P of &amp;N</oddHeader>
  </headerFooter>
  <rowBreaks count="1" manualBreakCount="1">
    <brk id="137" min="1" max="6"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ransitionEvaluation="1" codeName="Sheet20">
    <pageSetUpPr fitToPage="1"/>
  </sheetPr>
  <dimension ref="A1:S56"/>
  <sheetViews>
    <sheetView defaultGridColor="0" view="pageBreakPreview" colorId="22" zoomScale="60" zoomScaleNormal="70" workbookViewId="0">
      <selection activeCell="A9" sqref="A9:O9"/>
    </sheetView>
  </sheetViews>
  <sheetFormatPr defaultColWidth="14.7109375" defaultRowHeight="12.75"/>
  <cols>
    <col min="1" max="1" width="33.140625" customWidth="1"/>
    <col min="2" max="2" width="11" customWidth="1"/>
    <col min="3" max="3" width="16.85546875" customWidth="1"/>
    <col min="4" max="4" width="16.7109375" customWidth="1"/>
    <col min="5" max="5" width="14.7109375" customWidth="1"/>
    <col min="6" max="6" width="4.85546875" customWidth="1"/>
    <col min="7" max="7" width="14.7109375" customWidth="1"/>
    <col min="8" max="8" width="18.28515625" customWidth="1"/>
    <col min="9" max="9" width="15.5703125" customWidth="1"/>
    <col min="10" max="10" width="6.140625" customWidth="1"/>
    <col min="11" max="11" width="14.7109375" customWidth="1"/>
    <col min="12" max="12" width="16.140625" customWidth="1"/>
    <col min="13" max="13" width="14.7109375" customWidth="1"/>
    <col min="14" max="14" width="4.85546875" customWidth="1"/>
    <col min="15" max="15" width="18.5703125" customWidth="1"/>
    <col min="257" max="257" width="33.140625" customWidth="1"/>
    <col min="258" max="258" width="11" customWidth="1"/>
    <col min="259" max="259" width="16.85546875" customWidth="1"/>
    <col min="260" max="260" width="16.7109375" customWidth="1"/>
    <col min="261" max="261" width="14.7109375" customWidth="1"/>
    <col min="262" max="262" width="4.85546875" customWidth="1"/>
    <col min="263" max="263" width="14.7109375" customWidth="1"/>
    <col min="264" max="264" width="18.28515625" customWidth="1"/>
    <col min="265" max="265" width="15.5703125" customWidth="1"/>
    <col min="266" max="266" width="6.140625" customWidth="1"/>
    <col min="267" max="267" width="14.7109375" customWidth="1"/>
    <col min="268" max="268" width="16.140625" customWidth="1"/>
    <col min="269" max="269" width="14.7109375" customWidth="1"/>
    <col min="270" max="270" width="4.85546875" customWidth="1"/>
    <col min="271" max="271" width="18.5703125" customWidth="1"/>
    <col min="513" max="513" width="33.140625" customWidth="1"/>
    <col min="514" max="514" width="11" customWidth="1"/>
    <col min="515" max="515" width="16.85546875" customWidth="1"/>
    <col min="516" max="516" width="16.7109375" customWidth="1"/>
    <col min="517" max="517" width="14.7109375" customWidth="1"/>
    <col min="518" max="518" width="4.85546875" customWidth="1"/>
    <col min="519" max="519" width="14.7109375" customWidth="1"/>
    <col min="520" max="520" width="18.28515625" customWidth="1"/>
    <col min="521" max="521" width="15.5703125" customWidth="1"/>
    <col min="522" max="522" width="6.140625" customWidth="1"/>
    <col min="523" max="523" width="14.7109375" customWidth="1"/>
    <col min="524" max="524" width="16.140625" customWidth="1"/>
    <col min="525" max="525" width="14.7109375" customWidth="1"/>
    <col min="526" max="526" width="4.85546875" customWidth="1"/>
    <col min="527" max="527" width="18.5703125" customWidth="1"/>
    <col min="769" max="769" width="33.140625" customWidth="1"/>
    <col min="770" max="770" width="11" customWidth="1"/>
    <col min="771" max="771" width="16.85546875" customWidth="1"/>
    <col min="772" max="772" width="16.7109375" customWidth="1"/>
    <col min="773" max="773" width="14.7109375" customWidth="1"/>
    <col min="774" max="774" width="4.85546875" customWidth="1"/>
    <col min="775" max="775" width="14.7109375" customWidth="1"/>
    <col min="776" max="776" width="18.28515625" customWidth="1"/>
    <col min="777" max="777" width="15.5703125" customWidth="1"/>
    <col min="778" max="778" width="6.140625" customWidth="1"/>
    <col min="779" max="779" width="14.7109375" customWidth="1"/>
    <col min="780" max="780" width="16.140625" customWidth="1"/>
    <col min="781" max="781" width="14.7109375" customWidth="1"/>
    <col min="782" max="782" width="4.85546875" customWidth="1"/>
    <col min="783" max="783" width="18.5703125" customWidth="1"/>
    <col min="1025" max="1025" width="33.140625" customWidth="1"/>
    <col min="1026" max="1026" width="11" customWidth="1"/>
    <col min="1027" max="1027" width="16.85546875" customWidth="1"/>
    <col min="1028" max="1028" width="16.7109375" customWidth="1"/>
    <col min="1029" max="1029" width="14.7109375" customWidth="1"/>
    <col min="1030" max="1030" width="4.85546875" customWidth="1"/>
    <col min="1031" max="1031" width="14.7109375" customWidth="1"/>
    <col min="1032" max="1032" width="18.28515625" customWidth="1"/>
    <col min="1033" max="1033" width="15.5703125" customWidth="1"/>
    <col min="1034" max="1034" width="6.140625" customWidth="1"/>
    <col min="1035" max="1035" width="14.7109375" customWidth="1"/>
    <col min="1036" max="1036" width="16.140625" customWidth="1"/>
    <col min="1037" max="1037" width="14.7109375" customWidth="1"/>
    <col min="1038" max="1038" width="4.85546875" customWidth="1"/>
    <col min="1039" max="1039" width="18.5703125" customWidth="1"/>
    <col min="1281" max="1281" width="33.140625" customWidth="1"/>
    <col min="1282" max="1282" width="11" customWidth="1"/>
    <col min="1283" max="1283" width="16.85546875" customWidth="1"/>
    <col min="1284" max="1284" width="16.7109375" customWidth="1"/>
    <col min="1285" max="1285" width="14.7109375" customWidth="1"/>
    <col min="1286" max="1286" width="4.85546875" customWidth="1"/>
    <col min="1287" max="1287" width="14.7109375" customWidth="1"/>
    <col min="1288" max="1288" width="18.28515625" customWidth="1"/>
    <col min="1289" max="1289" width="15.5703125" customWidth="1"/>
    <col min="1290" max="1290" width="6.140625" customWidth="1"/>
    <col min="1291" max="1291" width="14.7109375" customWidth="1"/>
    <col min="1292" max="1292" width="16.140625" customWidth="1"/>
    <col min="1293" max="1293" width="14.7109375" customWidth="1"/>
    <col min="1294" max="1294" width="4.85546875" customWidth="1"/>
    <col min="1295" max="1295" width="18.5703125" customWidth="1"/>
    <col min="1537" max="1537" width="33.140625" customWidth="1"/>
    <col min="1538" max="1538" width="11" customWidth="1"/>
    <col min="1539" max="1539" width="16.85546875" customWidth="1"/>
    <col min="1540" max="1540" width="16.7109375" customWidth="1"/>
    <col min="1541" max="1541" width="14.7109375" customWidth="1"/>
    <col min="1542" max="1542" width="4.85546875" customWidth="1"/>
    <col min="1543" max="1543" width="14.7109375" customWidth="1"/>
    <col min="1544" max="1544" width="18.28515625" customWidth="1"/>
    <col min="1545" max="1545" width="15.5703125" customWidth="1"/>
    <col min="1546" max="1546" width="6.140625" customWidth="1"/>
    <col min="1547" max="1547" width="14.7109375" customWidth="1"/>
    <col min="1548" max="1548" width="16.140625" customWidth="1"/>
    <col min="1549" max="1549" width="14.7109375" customWidth="1"/>
    <col min="1550" max="1550" width="4.85546875" customWidth="1"/>
    <col min="1551" max="1551" width="18.5703125" customWidth="1"/>
    <col min="1793" max="1793" width="33.140625" customWidth="1"/>
    <col min="1794" max="1794" width="11" customWidth="1"/>
    <col min="1795" max="1795" width="16.85546875" customWidth="1"/>
    <col min="1796" max="1796" width="16.7109375" customWidth="1"/>
    <col min="1797" max="1797" width="14.7109375" customWidth="1"/>
    <col min="1798" max="1798" width="4.85546875" customWidth="1"/>
    <col min="1799" max="1799" width="14.7109375" customWidth="1"/>
    <col min="1800" max="1800" width="18.28515625" customWidth="1"/>
    <col min="1801" max="1801" width="15.5703125" customWidth="1"/>
    <col min="1802" max="1802" width="6.140625" customWidth="1"/>
    <col min="1803" max="1803" width="14.7109375" customWidth="1"/>
    <col min="1804" max="1804" width="16.140625" customWidth="1"/>
    <col min="1805" max="1805" width="14.7109375" customWidth="1"/>
    <col min="1806" max="1806" width="4.85546875" customWidth="1"/>
    <col min="1807" max="1807" width="18.5703125" customWidth="1"/>
    <col min="2049" max="2049" width="33.140625" customWidth="1"/>
    <col min="2050" max="2050" width="11" customWidth="1"/>
    <col min="2051" max="2051" width="16.85546875" customWidth="1"/>
    <col min="2052" max="2052" width="16.7109375" customWidth="1"/>
    <col min="2053" max="2053" width="14.7109375" customWidth="1"/>
    <col min="2054" max="2054" width="4.85546875" customWidth="1"/>
    <col min="2055" max="2055" width="14.7109375" customWidth="1"/>
    <col min="2056" max="2056" width="18.28515625" customWidth="1"/>
    <col min="2057" max="2057" width="15.5703125" customWidth="1"/>
    <col min="2058" max="2058" width="6.140625" customWidth="1"/>
    <col min="2059" max="2059" width="14.7109375" customWidth="1"/>
    <col min="2060" max="2060" width="16.140625" customWidth="1"/>
    <col min="2061" max="2061" width="14.7109375" customWidth="1"/>
    <col min="2062" max="2062" width="4.85546875" customWidth="1"/>
    <col min="2063" max="2063" width="18.5703125" customWidth="1"/>
    <col min="2305" max="2305" width="33.140625" customWidth="1"/>
    <col min="2306" max="2306" width="11" customWidth="1"/>
    <col min="2307" max="2307" width="16.85546875" customWidth="1"/>
    <col min="2308" max="2308" width="16.7109375" customWidth="1"/>
    <col min="2309" max="2309" width="14.7109375" customWidth="1"/>
    <col min="2310" max="2310" width="4.85546875" customWidth="1"/>
    <col min="2311" max="2311" width="14.7109375" customWidth="1"/>
    <col min="2312" max="2312" width="18.28515625" customWidth="1"/>
    <col min="2313" max="2313" width="15.5703125" customWidth="1"/>
    <col min="2314" max="2314" width="6.140625" customWidth="1"/>
    <col min="2315" max="2315" width="14.7109375" customWidth="1"/>
    <col min="2316" max="2316" width="16.140625" customWidth="1"/>
    <col min="2317" max="2317" width="14.7109375" customWidth="1"/>
    <col min="2318" max="2318" width="4.85546875" customWidth="1"/>
    <col min="2319" max="2319" width="18.5703125" customWidth="1"/>
    <col min="2561" max="2561" width="33.140625" customWidth="1"/>
    <col min="2562" max="2562" width="11" customWidth="1"/>
    <col min="2563" max="2563" width="16.85546875" customWidth="1"/>
    <col min="2564" max="2564" width="16.7109375" customWidth="1"/>
    <col min="2565" max="2565" width="14.7109375" customWidth="1"/>
    <col min="2566" max="2566" width="4.85546875" customWidth="1"/>
    <col min="2567" max="2567" width="14.7109375" customWidth="1"/>
    <col min="2568" max="2568" width="18.28515625" customWidth="1"/>
    <col min="2569" max="2569" width="15.5703125" customWidth="1"/>
    <col min="2570" max="2570" width="6.140625" customWidth="1"/>
    <col min="2571" max="2571" width="14.7109375" customWidth="1"/>
    <col min="2572" max="2572" width="16.140625" customWidth="1"/>
    <col min="2573" max="2573" width="14.7109375" customWidth="1"/>
    <col min="2574" max="2574" width="4.85546875" customWidth="1"/>
    <col min="2575" max="2575" width="18.5703125" customWidth="1"/>
    <col min="2817" max="2817" width="33.140625" customWidth="1"/>
    <col min="2818" max="2818" width="11" customWidth="1"/>
    <col min="2819" max="2819" width="16.85546875" customWidth="1"/>
    <col min="2820" max="2820" width="16.7109375" customWidth="1"/>
    <col min="2821" max="2821" width="14.7109375" customWidth="1"/>
    <col min="2822" max="2822" width="4.85546875" customWidth="1"/>
    <col min="2823" max="2823" width="14.7109375" customWidth="1"/>
    <col min="2824" max="2824" width="18.28515625" customWidth="1"/>
    <col min="2825" max="2825" width="15.5703125" customWidth="1"/>
    <col min="2826" max="2826" width="6.140625" customWidth="1"/>
    <col min="2827" max="2827" width="14.7109375" customWidth="1"/>
    <col min="2828" max="2828" width="16.140625" customWidth="1"/>
    <col min="2829" max="2829" width="14.7109375" customWidth="1"/>
    <col min="2830" max="2830" width="4.85546875" customWidth="1"/>
    <col min="2831" max="2831" width="18.5703125" customWidth="1"/>
    <col min="3073" max="3073" width="33.140625" customWidth="1"/>
    <col min="3074" max="3074" width="11" customWidth="1"/>
    <col min="3075" max="3075" width="16.85546875" customWidth="1"/>
    <col min="3076" max="3076" width="16.7109375" customWidth="1"/>
    <col min="3077" max="3077" width="14.7109375" customWidth="1"/>
    <col min="3078" max="3078" width="4.85546875" customWidth="1"/>
    <col min="3079" max="3079" width="14.7109375" customWidth="1"/>
    <col min="3080" max="3080" width="18.28515625" customWidth="1"/>
    <col min="3081" max="3081" width="15.5703125" customWidth="1"/>
    <col min="3082" max="3082" width="6.140625" customWidth="1"/>
    <col min="3083" max="3083" width="14.7109375" customWidth="1"/>
    <col min="3084" max="3084" width="16.140625" customWidth="1"/>
    <col min="3085" max="3085" width="14.7109375" customWidth="1"/>
    <col min="3086" max="3086" width="4.85546875" customWidth="1"/>
    <col min="3087" max="3087" width="18.5703125" customWidth="1"/>
    <col min="3329" max="3329" width="33.140625" customWidth="1"/>
    <col min="3330" max="3330" width="11" customWidth="1"/>
    <col min="3331" max="3331" width="16.85546875" customWidth="1"/>
    <col min="3332" max="3332" width="16.7109375" customWidth="1"/>
    <col min="3333" max="3333" width="14.7109375" customWidth="1"/>
    <col min="3334" max="3334" width="4.85546875" customWidth="1"/>
    <col min="3335" max="3335" width="14.7109375" customWidth="1"/>
    <col min="3336" max="3336" width="18.28515625" customWidth="1"/>
    <col min="3337" max="3337" width="15.5703125" customWidth="1"/>
    <col min="3338" max="3338" width="6.140625" customWidth="1"/>
    <col min="3339" max="3339" width="14.7109375" customWidth="1"/>
    <col min="3340" max="3340" width="16.140625" customWidth="1"/>
    <col min="3341" max="3341" width="14.7109375" customWidth="1"/>
    <col min="3342" max="3342" width="4.85546875" customWidth="1"/>
    <col min="3343" max="3343" width="18.5703125" customWidth="1"/>
    <col min="3585" max="3585" width="33.140625" customWidth="1"/>
    <col min="3586" max="3586" width="11" customWidth="1"/>
    <col min="3587" max="3587" width="16.85546875" customWidth="1"/>
    <col min="3588" max="3588" width="16.7109375" customWidth="1"/>
    <col min="3589" max="3589" width="14.7109375" customWidth="1"/>
    <col min="3590" max="3590" width="4.85546875" customWidth="1"/>
    <col min="3591" max="3591" width="14.7109375" customWidth="1"/>
    <col min="3592" max="3592" width="18.28515625" customWidth="1"/>
    <col min="3593" max="3593" width="15.5703125" customWidth="1"/>
    <col min="3594" max="3594" width="6.140625" customWidth="1"/>
    <col min="3595" max="3595" width="14.7109375" customWidth="1"/>
    <col min="3596" max="3596" width="16.140625" customWidth="1"/>
    <col min="3597" max="3597" width="14.7109375" customWidth="1"/>
    <col min="3598" max="3598" width="4.85546875" customWidth="1"/>
    <col min="3599" max="3599" width="18.5703125" customWidth="1"/>
    <col min="3841" max="3841" width="33.140625" customWidth="1"/>
    <col min="3842" max="3842" width="11" customWidth="1"/>
    <col min="3843" max="3843" width="16.85546875" customWidth="1"/>
    <col min="3844" max="3844" width="16.7109375" customWidth="1"/>
    <col min="3845" max="3845" width="14.7109375" customWidth="1"/>
    <col min="3846" max="3846" width="4.85546875" customWidth="1"/>
    <col min="3847" max="3847" width="14.7109375" customWidth="1"/>
    <col min="3848" max="3848" width="18.28515625" customWidth="1"/>
    <col min="3849" max="3849" width="15.5703125" customWidth="1"/>
    <col min="3850" max="3850" width="6.140625" customWidth="1"/>
    <col min="3851" max="3851" width="14.7109375" customWidth="1"/>
    <col min="3852" max="3852" width="16.140625" customWidth="1"/>
    <col min="3853" max="3853" width="14.7109375" customWidth="1"/>
    <col min="3854" max="3854" width="4.85546875" customWidth="1"/>
    <col min="3855" max="3855" width="18.5703125" customWidth="1"/>
    <col min="4097" max="4097" width="33.140625" customWidth="1"/>
    <col min="4098" max="4098" width="11" customWidth="1"/>
    <col min="4099" max="4099" width="16.85546875" customWidth="1"/>
    <col min="4100" max="4100" width="16.7109375" customWidth="1"/>
    <col min="4101" max="4101" width="14.7109375" customWidth="1"/>
    <col min="4102" max="4102" width="4.85546875" customWidth="1"/>
    <col min="4103" max="4103" width="14.7109375" customWidth="1"/>
    <col min="4104" max="4104" width="18.28515625" customWidth="1"/>
    <col min="4105" max="4105" width="15.5703125" customWidth="1"/>
    <col min="4106" max="4106" width="6.140625" customWidth="1"/>
    <col min="4107" max="4107" width="14.7109375" customWidth="1"/>
    <col min="4108" max="4108" width="16.140625" customWidth="1"/>
    <col min="4109" max="4109" width="14.7109375" customWidth="1"/>
    <col min="4110" max="4110" width="4.85546875" customWidth="1"/>
    <col min="4111" max="4111" width="18.5703125" customWidth="1"/>
    <col min="4353" max="4353" width="33.140625" customWidth="1"/>
    <col min="4354" max="4354" width="11" customWidth="1"/>
    <col min="4355" max="4355" width="16.85546875" customWidth="1"/>
    <col min="4356" max="4356" width="16.7109375" customWidth="1"/>
    <col min="4357" max="4357" width="14.7109375" customWidth="1"/>
    <col min="4358" max="4358" width="4.85546875" customWidth="1"/>
    <col min="4359" max="4359" width="14.7109375" customWidth="1"/>
    <col min="4360" max="4360" width="18.28515625" customWidth="1"/>
    <col min="4361" max="4361" width="15.5703125" customWidth="1"/>
    <col min="4362" max="4362" width="6.140625" customWidth="1"/>
    <col min="4363" max="4363" width="14.7109375" customWidth="1"/>
    <col min="4364" max="4364" width="16.140625" customWidth="1"/>
    <col min="4365" max="4365" width="14.7109375" customWidth="1"/>
    <col min="4366" max="4366" width="4.85546875" customWidth="1"/>
    <col min="4367" max="4367" width="18.5703125" customWidth="1"/>
    <col min="4609" max="4609" width="33.140625" customWidth="1"/>
    <col min="4610" max="4610" width="11" customWidth="1"/>
    <col min="4611" max="4611" width="16.85546875" customWidth="1"/>
    <col min="4612" max="4612" width="16.7109375" customWidth="1"/>
    <col min="4613" max="4613" width="14.7109375" customWidth="1"/>
    <col min="4614" max="4614" width="4.85546875" customWidth="1"/>
    <col min="4615" max="4615" width="14.7109375" customWidth="1"/>
    <col min="4616" max="4616" width="18.28515625" customWidth="1"/>
    <col min="4617" max="4617" width="15.5703125" customWidth="1"/>
    <col min="4618" max="4618" width="6.140625" customWidth="1"/>
    <col min="4619" max="4619" width="14.7109375" customWidth="1"/>
    <col min="4620" max="4620" width="16.140625" customWidth="1"/>
    <col min="4621" max="4621" width="14.7109375" customWidth="1"/>
    <col min="4622" max="4622" width="4.85546875" customWidth="1"/>
    <col min="4623" max="4623" width="18.5703125" customWidth="1"/>
    <col min="4865" max="4865" width="33.140625" customWidth="1"/>
    <col min="4866" max="4866" width="11" customWidth="1"/>
    <col min="4867" max="4867" width="16.85546875" customWidth="1"/>
    <col min="4868" max="4868" width="16.7109375" customWidth="1"/>
    <col min="4869" max="4869" width="14.7109375" customWidth="1"/>
    <col min="4870" max="4870" width="4.85546875" customWidth="1"/>
    <col min="4871" max="4871" width="14.7109375" customWidth="1"/>
    <col min="4872" max="4872" width="18.28515625" customWidth="1"/>
    <col min="4873" max="4873" width="15.5703125" customWidth="1"/>
    <col min="4874" max="4874" width="6.140625" customWidth="1"/>
    <col min="4875" max="4875" width="14.7109375" customWidth="1"/>
    <col min="4876" max="4876" width="16.140625" customWidth="1"/>
    <col min="4877" max="4877" width="14.7109375" customWidth="1"/>
    <col min="4878" max="4878" width="4.85546875" customWidth="1"/>
    <col min="4879" max="4879" width="18.5703125" customWidth="1"/>
    <col min="5121" max="5121" width="33.140625" customWidth="1"/>
    <col min="5122" max="5122" width="11" customWidth="1"/>
    <col min="5123" max="5123" width="16.85546875" customWidth="1"/>
    <col min="5124" max="5124" width="16.7109375" customWidth="1"/>
    <col min="5125" max="5125" width="14.7109375" customWidth="1"/>
    <col min="5126" max="5126" width="4.85546875" customWidth="1"/>
    <col min="5127" max="5127" width="14.7109375" customWidth="1"/>
    <col min="5128" max="5128" width="18.28515625" customWidth="1"/>
    <col min="5129" max="5129" width="15.5703125" customWidth="1"/>
    <col min="5130" max="5130" width="6.140625" customWidth="1"/>
    <col min="5131" max="5131" width="14.7109375" customWidth="1"/>
    <col min="5132" max="5132" width="16.140625" customWidth="1"/>
    <col min="5133" max="5133" width="14.7109375" customWidth="1"/>
    <col min="5134" max="5134" width="4.85546875" customWidth="1"/>
    <col min="5135" max="5135" width="18.5703125" customWidth="1"/>
    <col min="5377" max="5377" width="33.140625" customWidth="1"/>
    <col min="5378" max="5378" width="11" customWidth="1"/>
    <col min="5379" max="5379" width="16.85546875" customWidth="1"/>
    <col min="5380" max="5380" width="16.7109375" customWidth="1"/>
    <col min="5381" max="5381" width="14.7109375" customWidth="1"/>
    <col min="5382" max="5382" width="4.85546875" customWidth="1"/>
    <col min="5383" max="5383" width="14.7109375" customWidth="1"/>
    <col min="5384" max="5384" width="18.28515625" customWidth="1"/>
    <col min="5385" max="5385" width="15.5703125" customWidth="1"/>
    <col min="5386" max="5386" width="6.140625" customWidth="1"/>
    <col min="5387" max="5387" width="14.7109375" customWidth="1"/>
    <col min="5388" max="5388" width="16.140625" customWidth="1"/>
    <col min="5389" max="5389" width="14.7109375" customWidth="1"/>
    <col min="5390" max="5390" width="4.85546875" customWidth="1"/>
    <col min="5391" max="5391" width="18.5703125" customWidth="1"/>
    <col min="5633" max="5633" width="33.140625" customWidth="1"/>
    <col min="5634" max="5634" width="11" customWidth="1"/>
    <col min="5635" max="5635" width="16.85546875" customWidth="1"/>
    <col min="5636" max="5636" width="16.7109375" customWidth="1"/>
    <col min="5637" max="5637" width="14.7109375" customWidth="1"/>
    <col min="5638" max="5638" width="4.85546875" customWidth="1"/>
    <col min="5639" max="5639" width="14.7109375" customWidth="1"/>
    <col min="5640" max="5640" width="18.28515625" customWidth="1"/>
    <col min="5641" max="5641" width="15.5703125" customWidth="1"/>
    <col min="5642" max="5642" width="6.140625" customWidth="1"/>
    <col min="5643" max="5643" width="14.7109375" customWidth="1"/>
    <col min="5644" max="5644" width="16.140625" customWidth="1"/>
    <col min="5645" max="5645" width="14.7109375" customWidth="1"/>
    <col min="5646" max="5646" width="4.85546875" customWidth="1"/>
    <col min="5647" max="5647" width="18.5703125" customWidth="1"/>
    <col min="5889" max="5889" width="33.140625" customWidth="1"/>
    <col min="5890" max="5890" width="11" customWidth="1"/>
    <col min="5891" max="5891" width="16.85546875" customWidth="1"/>
    <col min="5892" max="5892" width="16.7109375" customWidth="1"/>
    <col min="5893" max="5893" width="14.7109375" customWidth="1"/>
    <col min="5894" max="5894" width="4.85546875" customWidth="1"/>
    <col min="5895" max="5895" width="14.7109375" customWidth="1"/>
    <col min="5896" max="5896" width="18.28515625" customWidth="1"/>
    <col min="5897" max="5897" width="15.5703125" customWidth="1"/>
    <col min="5898" max="5898" width="6.140625" customWidth="1"/>
    <col min="5899" max="5899" width="14.7109375" customWidth="1"/>
    <col min="5900" max="5900" width="16.140625" customWidth="1"/>
    <col min="5901" max="5901" width="14.7109375" customWidth="1"/>
    <col min="5902" max="5902" width="4.85546875" customWidth="1"/>
    <col min="5903" max="5903" width="18.5703125" customWidth="1"/>
    <col min="6145" max="6145" width="33.140625" customWidth="1"/>
    <col min="6146" max="6146" width="11" customWidth="1"/>
    <col min="6147" max="6147" width="16.85546875" customWidth="1"/>
    <col min="6148" max="6148" width="16.7109375" customWidth="1"/>
    <col min="6149" max="6149" width="14.7109375" customWidth="1"/>
    <col min="6150" max="6150" width="4.85546875" customWidth="1"/>
    <col min="6151" max="6151" width="14.7109375" customWidth="1"/>
    <col min="6152" max="6152" width="18.28515625" customWidth="1"/>
    <col min="6153" max="6153" width="15.5703125" customWidth="1"/>
    <col min="6154" max="6154" width="6.140625" customWidth="1"/>
    <col min="6155" max="6155" width="14.7109375" customWidth="1"/>
    <col min="6156" max="6156" width="16.140625" customWidth="1"/>
    <col min="6157" max="6157" width="14.7109375" customWidth="1"/>
    <col min="6158" max="6158" width="4.85546875" customWidth="1"/>
    <col min="6159" max="6159" width="18.5703125" customWidth="1"/>
    <col min="6401" max="6401" width="33.140625" customWidth="1"/>
    <col min="6402" max="6402" width="11" customWidth="1"/>
    <col min="6403" max="6403" width="16.85546875" customWidth="1"/>
    <col min="6404" max="6404" width="16.7109375" customWidth="1"/>
    <col min="6405" max="6405" width="14.7109375" customWidth="1"/>
    <col min="6406" max="6406" width="4.85546875" customWidth="1"/>
    <col min="6407" max="6407" width="14.7109375" customWidth="1"/>
    <col min="6408" max="6408" width="18.28515625" customWidth="1"/>
    <col min="6409" max="6409" width="15.5703125" customWidth="1"/>
    <col min="6410" max="6410" width="6.140625" customWidth="1"/>
    <col min="6411" max="6411" width="14.7109375" customWidth="1"/>
    <col min="6412" max="6412" width="16.140625" customWidth="1"/>
    <col min="6413" max="6413" width="14.7109375" customWidth="1"/>
    <col min="6414" max="6414" width="4.85546875" customWidth="1"/>
    <col min="6415" max="6415" width="18.5703125" customWidth="1"/>
    <col min="6657" max="6657" width="33.140625" customWidth="1"/>
    <col min="6658" max="6658" width="11" customWidth="1"/>
    <col min="6659" max="6659" width="16.85546875" customWidth="1"/>
    <col min="6660" max="6660" width="16.7109375" customWidth="1"/>
    <col min="6661" max="6661" width="14.7109375" customWidth="1"/>
    <col min="6662" max="6662" width="4.85546875" customWidth="1"/>
    <col min="6663" max="6663" width="14.7109375" customWidth="1"/>
    <col min="6664" max="6664" width="18.28515625" customWidth="1"/>
    <col min="6665" max="6665" width="15.5703125" customWidth="1"/>
    <col min="6666" max="6666" width="6.140625" customWidth="1"/>
    <col min="6667" max="6667" width="14.7109375" customWidth="1"/>
    <col min="6668" max="6668" width="16.140625" customWidth="1"/>
    <col min="6669" max="6669" width="14.7109375" customWidth="1"/>
    <col min="6670" max="6670" width="4.85546875" customWidth="1"/>
    <col min="6671" max="6671" width="18.5703125" customWidth="1"/>
    <col min="6913" max="6913" width="33.140625" customWidth="1"/>
    <col min="6914" max="6914" width="11" customWidth="1"/>
    <col min="6915" max="6915" width="16.85546875" customWidth="1"/>
    <col min="6916" max="6916" width="16.7109375" customWidth="1"/>
    <col min="6917" max="6917" width="14.7109375" customWidth="1"/>
    <col min="6918" max="6918" width="4.85546875" customWidth="1"/>
    <col min="6919" max="6919" width="14.7109375" customWidth="1"/>
    <col min="6920" max="6920" width="18.28515625" customWidth="1"/>
    <col min="6921" max="6921" width="15.5703125" customWidth="1"/>
    <col min="6922" max="6922" width="6.140625" customWidth="1"/>
    <col min="6923" max="6923" width="14.7109375" customWidth="1"/>
    <col min="6924" max="6924" width="16.140625" customWidth="1"/>
    <col min="6925" max="6925" width="14.7109375" customWidth="1"/>
    <col min="6926" max="6926" width="4.85546875" customWidth="1"/>
    <col min="6927" max="6927" width="18.5703125" customWidth="1"/>
    <col min="7169" max="7169" width="33.140625" customWidth="1"/>
    <col min="7170" max="7170" width="11" customWidth="1"/>
    <col min="7171" max="7171" width="16.85546875" customWidth="1"/>
    <col min="7172" max="7172" width="16.7109375" customWidth="1"/>
    <col min="7173" max="7173" width="14.7109375" customWidth="1"/>
    <col min="7174" max="7174" width="4.85546875" customWidth="1"/>
    <col min="7175" max="7175" width="14.7109375" customWidth="1"/>
    <col min="7176" max="7176" width="18.28515625" customWidth="1"/>
    <col min="7177" max="7177" width="15.5703125" customWidth="1"/>
    <col min="7178" max="7178" width="6.140625" customWidth="1"/>
    <col min="7179" max="7179" width="14.7109375" customWidth="1"/>
    <col min="7180" max="7180" width="16.140625" customWidth="1"/>
    <col min="7181" max="7181" width="14.7109375" customWidth="1"/>
    <col min="7182" max="7182" width="4.85546875" customWidth="1"/>
    <col min="7183" max="7183" width="18.5703125" customWidth="1"/>
    <col min="7425" max="7425" width="33.140625" customWidth="1"/>
    <col min="7426" max="7426" width="11" customWidth="1"/>
    <col min="7427" max="7427" width="16.85546875" customWidth="1"/>
    <col min="7428" max="7428" width="16.7109375" customWidth="1"/>
    <col min="7429" max="7429" width="14.7109375" customWidth="1"/>
    <col min="7430" max="7430" width="4.85546875" customWidth="1"/>
    <col min="7431" max="7431" width="14.7109375" customWidth="1"/>
    <col min="7432" max="7432" width="18.28515625" customWidth="1"/>
    <col min="7433" max="7433" width="15.5703125" customWidth="1"/>
    <col min="7434" max="7434" width="6.140625" customWidth="1"/>
    <col min="7435" max="7435" width="14.7109375" customWidth="1"/>
    <col min="7436" max="7436" width="16.140625" customWidth="1"/>
    <col min="7437" max="7437" width="14.7109375" customWidth="1"/>
    <col min="7438" max="7438" width="4.85546875" customWidth="1"/>
    <col min="7439" max="7439" width="18.5703125" customWidth="1"/>
    <col min="7681" max="7681" width="33.140625" customWidth="1"/>
    <col min="7682" max="7682" width="11" customWidth="1"/>
    <col min="7683" max="7683" width="16.85546875" customWidth="1"/>
    <col min="7684" max="7684" width="16.7109375" customWidth="1"/>
    <col min="7685" max="7685" width="14.7109375" customWidth="1"/>
    <col min="7686" max="7686" width="4.85546875" customWidth="1"/>
    <col min="7687" max="7687" width="14.7109375" customWidth="1"/>
    <col min="7688" max="7688" width="18.28515625" customWidth="1"/>
    <col min="7689" max="7689" width="15.5703125" customWidth="1"/>
    <col min="7690" max="7690" width="6.140625" customWidth="1"/>
    <col min="7691" max="7691" width="14.7109375" customWidth="1"/>
    <col min="7692" max="7692" width="16.140625" customWidth="1"/>
    <col min="7693" max="7693" width="14.7109375" customWidth="1"/>
    <col min="7694" max="7694" width="4.85546875" customWidth="1"/>
    <col min="7695" max="7695" width="18.5703125" customWidth="1"/>
    <col min="7937" max="7937" width="33.140625" customWidth="1"/>
    <col min="7938" max="7938" width="11" customWidth="1"/>
    <col min="7939" max="7939" width="16.85546875" customWidth="1"/>
    <col min="7940" max="7940" width="16.7109375" customWidth="1"/>
    <col min="7941" max="7941" width="14.7109375" customWidth="1"/>
    <col min="7942" max="7942" width="4.85546875" customWidth="1"/>
    <col min="7943" max="7943" width="14.7109375" customWidth="1"/>
    <col min="7944" max="7944" width="18.28515625" customWidth="1"/>
    <col min="7945" max="7945" width="15.5703125" customWidth="1"/>
    <col min="7946" max="7946" width="6.140625" customWidth="1"/>
    <col min="7947" max="7947" width="14.7109375" customWidth="1"/>
    <col min="7948" max="7948" width="16.140625" customWidth="1"/>
    <col min="7949" max="7949" width="14.7109375" customWidth="1"/>
    <col min="7950" max="7950" width="4.85546875" customWidth="1"/>
    <col min="7951" max="7951" width="18.5703125" customWidth="1"/>
    <col min="8193" max="8193" width="33.140625" customWidth="1"/>
    <col min="8194" max="8194" width="11" customWidth="1"/>
    <col min="8195" max="8195" width="16.85546875" customWidth="1"/>
    <col min="8196" max="8196" width="16.7109375" customWidth="1"/>
    <col min="8197" max="8197" width="14.7109375" customWidth="1"/>
    <col min="8198" max="8198" width="4.85546875" customWidth="1"/>
    <col min="8199" max="8199" width="14.7109375" customWidth="1"/>
    <col min="8200" max="8200" width="18.28515625" customWidth="1"/>
    <col min="8201" max="8201" width="15.5703125" customWidth="1"/>
    <col min="8202" max="8202" width="6.140625" customWidth="1"/>
    <col min="8203" max="8203" width="14.7109375" customWidth="1"/>
    <col min="8204" max="8204" width="16.140625" customWidth="1"/>
    <col min="8205" max="8205" width="14.7109375" customWidth="1"/>
    <col min="8206" max="8206" width="4.85546875" customWidth="1"/>
    <col min="8207" max="8207" width="18.5703125" customWidth="1"/>
    <col min="8449" max="8449" width="33.140625" customWidth="1"/>
    <col min="8450" max="8450" width="11" customWidth="1"/>
    <col min="8451" max="8451" width="16.85546875" customWidth="1"/>
    <col min="8452" max="8452" width="16.7109375" customWidth="1"/>
    <col min="8453" max="8453" width="14.7109375" customWidth="1"/>
    <col min="8454" max="8454" width="4.85546875" customWidth="1"/>
    <col min="8455" max="8455" width="14.7109375" customWidth="1"/>
    <col min="8456" max="8456" width="18.28515625" customWidth="1"/>
    <col min="8457" max="8457" width="15.5703125" customWidth="1"/>
    <col min="8458" max="8458" width="6.140625" customWidth="1"/>
    <col min="8459" max="8459" width="14.7109375" customWidth="1"/>
    <col min="8460" max="8460" width="16.140625" customWidth="1"/>
    <col min="8461" max="8461" width="14.7109375" customWidth="1"/>
    <col min="8462" max="8462" width="4.85546875" customWidth="1"/>
    <col min="8463" max="8463" width="18.5703125" customWidth="1"/>
    <col min="8705" max="8705" width="33.140625" customWidth="1"/>
    <col min="8706" max="8706" width="11" customWidth="1"/>
    <col min="8707" max="8707" width="16.85546875" customWidth="1"/>
    <col min="8708" max="8708" width="16.7109375" customWidth="1"/>
    <col min="8709" max="8709" width="14.7109375" customWidth="1"/>
    <col min="8710" max="8710" width="4.85546875" customWidth="1"/>
    <col min="8711" max="8711" width="14.7109375" customWidth="1"/>
    <col min="8712" max="8712" width="18.28515625" customWidth="1"/>
    <col min="8713" max="8713" width="15.5703125" customWidth="1"/>
    <col min="8714" max="8714" width="6.140625" customWidth="1"/>
    <col min="8715" max="8715" width="14.7109375" customWidth="1"/>
    <col min="8716" max="8716" width="16.140625" customWidth="1"/>
    <col min="8717" max="8717" width="14.7109375" customWidth="1"/>
    <col min="8718" max="8718" width="4.85546875" customWidth="1"/>
    <col min="8719" max="8719" width="18.5703125" customWidth="1"/>
    <col min="8961" max="8961" width="33.140625" customWidth="1"/>
    <col min="8962" max="8962" width="11" customWidth="1"/>
    <col min="8963" max="8963" width="16.85546875" customWidth="1"/>
    <col min="8964" max="8964" width="16.7109375" customWidth="1"/>
    <col min="8965" max="8965" width="14.7109375" customWidth="1"/>
    <col min="8966" max="8966" width="4.85546875" customWidth="1"/>
    <col min="8967" max="8967" width="14.7109375" customWidth="1"/>
    <col min="8968" max="8968" width="18.28515625" customWidth="1"/>
    <col min="8969" max="8969" width="15.5703125" customWidth="1"/>
    <col min="8970" max="8970" width="6.140625" customWidth="1"/>
    <col min="8971" max="8971" width="14.7109375" customWidth="1"/>
    <col min="8972" max="8972" width="16.140625" customWidth="1"/>
    <col min="8973" max="8973" width="14.7109375" customWidth="1"/>
    <col min="8974" max="8974" width="4.85546875" customWidth="1"/>
    <col min="8975" max="8975" width="18.5703125" customWidth="1"/>
    <col min="9217" max="9217" width="33.140625" customWidth="1"/>
    <col min="9218" max="9218" width="11" customWidth="1"/>
    <col min="9219" max="9219" width="16.85546875" customWidth="1"/>
    <col min="9220" max="9220" width="16.7109375" customWidth="1"/>
    <col min="9221" max="9221" width="14.7109375" customWidth="1"/>
    <col min="9222" max="9222" width="4.85546875" customWidth="1"/>
    <col min="9223" max="9223" width="14.7109375" customWidth="1"/>
    <col min="9224" max="9224" width="18.28515625" customWidth="1"/>
    <col min="9225" max="9225" width="15.5703125" customWidth="1"/>
    <col min="9226" max="9226" width="6.140625" customWidth="1"/>
    <col min="9227" max="9227" width="14.7109375" customWidth="1"/>
    <col min="9228" max="9228" width="16.140625" customWidth="1"/>
    <col min="9229" max="9229" width="14.7109375" customWidth="1"/>
    <col min="9230" max="9230" width="4.85546875" customWidth="1"/>
    <col min="9231" max="9231" width="18.5703125" customWidth="1"/>
    <col min="9473" max="9473" width="33.140625" customWidth="1"/>
    <col min="9474" max="9474" width="11" customWidth="1"/>
    <col min="9475" max="9475" width="16.85546875" customWidth="1"/>
    <col min="9476" max="9476" width="16.7109375" customWidth="1"/>
    <col min="9477" max="9477" width="14.7109375" customWidth="1"/>
    <col min="9478" max="9478" width="4.85546875" customWidth="1"/>
    <col min="9479" max="9479" width="14.7109375" customWidth="1"/>
    <col min="9480" max="9480" width="18.28515625" customWidth="1"/>
    <col min="9481" max="9481" width="15.5703125" customWidth="1"/>
    <col min="9482" max="9482" width="6.140625" customWidth="1"/>
    <col min="9483" max="9483" width="14.7109375" customWidth="1"/>
    <col min="9484" max="9484" width="16.140625" customWidth="1"/>
    <col min="9485" max="9485" width="14.7109375" customWidth="1"/>
    <col min="9486" max="9486" width="4.85546875" customWidth="1"/>
    <col min="9487" max="9487" width="18.5703125" customWidth="1"/>
    <col min="9729" max="9729" width="33.140625" customWidth="1"/>
    <col min="9730" max="9730" width="11" customWidth="1"/>
    <col min="9731" max="9731" width="16.85546875" customWidth="1"/>
    <col min="9732" max="9732" width="16.7109375" customWidth="1"/>
    <col min="9733" max="9733" width="14.7109375" customWidth="1"/>
    <col min="9734" max="9734" width="4.85546875" customWidth="1"/>
    <col min="9735" max="9735" width="14.7109375" customWidth="1"/>
    <col min="9736" max="9736" width="18.28515625" customWidth="1"/>
    <col min="9737" max="9737" width="15.5703125" customWidth="1"/>
    <col min="9738" max="9738" width="6.140625" customWidth="1"/>
    <col min="9739" max="9739" width="14.7109375" customWidth="1"/>
    <col min="9740" max="9740" width="16.140625" customWidth="1"/>
    <col min="9741" max="9741" width="14.7109375" customWidth="1"/>
    <col min="9742" max="9742" width="4.85546875" customWidth="1"/>
    <col min="9743" max="9743" width="18.5703125" customWidth="1"/>
    <col min="9985" max="9985" width="33.140625" customWidth="1"/>
    <col min="9986" max="9986" width="11" customWidth="1"/>
    <col min="9987" max="9987" width="16.85546875" customWidth="1"/>
    <col min="9988" max="9988" width="16.7109375" customWidth="1"/>
    <col min="9989" max="9989" width="14.7109375" customWidth="1"/>
    <col min="9990" max="9990" width="4.85546875" customWidth="1"/>
    <col min="9991" max="9991" width="14.7109375" customWidth="1"/>
    <col min="9992" max="9992" width="18.28515625" customWidth="1"/>
    <col min="9993" max="9993" width="15.5703125" customWidth="1"/>
    <col min="9994" max="9994" width="6.140625" customWidth="1"/>
    <col min="9995" max="9995" width="14.7109375" customWidth="1"/>
    <col min="9996" max="9996" width="16.140625" customWidth="1"/>
    <col min="9997" max="9997" width="14.7109375" customWidth="1"/>
    <col min="9998" max="9998" width="4.85546875" customWidth="1"/>
    <col min="9999" max="9999" width="18.5703125" customWidth="1"/>
    <col min="10241" max="10241" width="33.140625" customWidth="1"/>
    <col min="10242" max="10242" width="11" customWidth="1"/>
    <col min="10243" max="10243" width="16.85546875" customWidth="1"/>
    <col min="10244" max="10244" width="16.7109375" customWidth="1"/>
    <col min="10245" max="10245" width="14.7109375" customWidth="1"/>
    <col min="10246" max="10246" width="4.85546875" customWidth="1"/>
    <col min="10247" max="10247" width="14.7109375" customWidth="1"/>
    <col min="10248" max="10248" width="18.28515625" customWidth="1"/>
    <col min="10249" max="10249" width="15.5703125" customWidth="1"/>
    <col min="10250" max="10250" width="6.140625" customWidth="1"/>
    <col min="10251" max="10251" width="14.7109375" customWidth="1"/>
    <col min="10252" max="10252" width="16.140625" customWidth="1"/>
    <col min="10253" max="10253" width="14.7109375" customWidth="1"/>
    <col min="10254" max="10254" width="4.85546875" customWidth="1"/>
    <col min="10255" max="10255" width="18.5703125" customWidth="1"/>
    <col min="10497" max="10497" width="33.140625" customWidth="1"/>
    <col min="10498" max="10498" width="11" customWidth="1"/>
    <col min="10499" max="10499" width="16.85546875" customWidth="1"/>
    <col min="10500" max="10500" width="16.7109375" customWidth="1"/>
    <col min="10501" max="10501" width="14.7109375" customWidth="1"/>
    <col min="10502" max="10502" width="4.85546875" customWidth="1"/>
    <col min="10503" max="10503" width="14.7109375" customWidth="1"/>
    <col min="10504" max="10504" width="18.28515625" customWidth="1"/>
    <col min="10505" max="10505" width="15.5703125" customWidth="1"/>
    <col min="10506" max="10506" width="6.140625" customWidth="1"/>
    <col min="10507" max="10507" width="14.7109375" customWidth="1"/>
    <col min="10508" max="10508" width="16.140625" customWidth="1"/>
    <col min="10509" max="10509" width="14.7109375" customWidth="1"/>
    <col min="10510" max="10510" width="4.85546875" customWidth="1"/>
    <col min="10511" max="10511" width="18.5703125" customWidth="1"/>
    <col min="10753" max="10753" width="33.140625" customWidth="1"/>
    <col min="10754" max="10754" width="11" customWidth="1"/>
    <col min="10755" max="10755" width="16.85546875" customWidth="1"/>
    <col min="10756" max="10756" width="16.7109375" customWidth="1"/>
    <col min="10757" max="10757" width="14.7109375" customWidth="1"/>
    <col min="10758" max="10758" width="4.85546875" customWidth="1"/>
    <col min="10759" max="10759" width="14.7109375" customWidth="1"/>
    <col min="10760" max="10760" width="18.28515625" customWidth="1"/>
    <col min="10761" max="10761" width="15.5703125" customWidth="1"/>
    <col min="10762" max="10762" width="6.140625" customWidth="1"/>
    <col min="10763" max="10763" width="14.7109375" customWidth="1"/>
    <col min="10764" max="10764" width="16.140625" customWidth="1"/>
    <col min="10765" max="10765" width="14.7109375" customWidth="1"/>
    <col min="10766" max="10766" width="4.85546875" customWidth="1"/>
    <col min="10767" max="10767" width="18.5703125" customWidth="1"/>
    <col min="11009" max="11009" width="33.140625" customWidth="1"/>
    <col min="11010" max="11010" width="11" customWidth="1"/>
    <col min="11011" max="11011" width="16.85546875" customWidth="1"/>
    <col min="11012" max="11012" width="16.7109375" customWidth="1"/>
    <col min="11013" max="11013" width="14.7109375" customWidth="1"/>
    <col min="11014" max="11014" width="4.85546875" customWidth="1"/>
    <col min="11015" max="11015" width="14.7109375" customWidth="1"/>
    <col min="11016" max="11016" width="18.28515625" customWidth="1"/>
    <col min="11017" max="11017" width="15.5703125" customWidth="1"/>
    <col min="11018" max="11018" width="6.140625" customWidth="1"/>
    <col min="11019" max="11019" width="14.7109375" customWidth="1"/>
    <col min="11020" max="11020" width="16.140625" customWidth="1"/>
    <col min="11021" max="11021" width="14.7109375" customWidth="1"/>
    <col min="11022" max="11022" width="4.85546875" customWidth="1"/>
    <col min="11023" max="11023" width="18.5703125" customWidth="1"/>
    <col min="11265" max="11265" width="33.140625" customWidth="1"/>
    <col min="11266" max="11266" width="11" customWidth="1"/>
    <col min="11267" max="11267" width="16.85546875" customWidth="1"/>
    <col min="11268" max="11268" width="16.7109375" customWidth="1"/>
    <col min="11269" max="11269" width="14.7109375" customWidth="1"/>
    <col min="11270" max="11270" width="4.85546875" customWidth="1"/>
    <col min="11271" max="11271" width="14.7109375" customWidth="1"/>
    <col min="11272" max="11272" width="18.28515625" customWidth="1"/>
    <col min="11273" max="11273" width="15.5703125" customWidth="1"/>
    <col min="11274" max="11274" width="6.140625" customWidth="1"/>
    <col min="11275" max="11275" width="14.7109375" customWidth="1"/>
    <col min="11276" max="11276" width="16.140625" customWidth="1"/>
    <col min="11277" max="11277" width="14.7109375" customWidth="1"/>
    <col min="11278" max="11278" width="4.85546875" customWidth="1"/>
    <col min="11279" max="11279" width="18.5703125" customWidth="1"/>
    <col min="11521" max="11521" width="33.140625" customWidth="1"/>
    <col min="11522" max="11522" width="11" customWidth="1"/>
    <col min="11523" max="11523" width="16.85546875" customWidth="1"/>
    <col min="11524" max="11524" width="16.7109375" customWidth="1"/>
    <col min="11525" max="11525" width="14.7109375" customWidth="1"/>
    <col min="11526" max="11526" width="4.85546875" customWidth="1"/>
    <col min="11527" max="11527" width="14.7109375" customWidth="1"/>
    <col min="11528" max="11528" width="18.28515625" customWidth="1"/>
    <col min="11529" max="11529" width="15.5703125" customWidth="1"/>
    <col min="11530" max="11530" width="6.140625" customWidth="1"/>
    <col min="11531" max="11531" width="14.7109375" customWidth="1"/>
    <col min="11532" max="11532" width="16.140625" customWidth="1"/>
    <col min="11533" max="11533" width="14.7109375" customWidth="1"/>
    <col min="11534" max="11534" width="4.85546875" customWidth="1"/>
    <col min="11535" max="11535" width="18.5703125" customWidth="1"/>
    <col min="11777" max="11777" width="33.140625" customWidth="1"/>
    <col min="11778" max="11778" width="11" customWidth="1"/>
    <col min="11779" max="11779" width="16.85546875" customWidth="1"/>
    <col min="11780" max="11780" width="16.7109375" customWidth="1"/>
    <col min="11781" max="11781" width="14.7109375" customWidth="1"/>
    <col min="11782" max="11782" width="4.85546875" customWidth="1"/>
    <col min="11783" max="11783" width="14.7109375" customWidth="1"/>
    <col min="11784" max="11784" width="18.28515625" customWidth="1"/>
    <col min="11785" max="11785" width="15.5703125" customWidth="1"/>
    <col min="11786" max="11786" width="6.140625" customWidth="1"/>
    <col min="11787" max="11787" width="14.7109375" customWidth="1"/>
    <col min="11788" max="11788" width="16.140625" customWidth="1"/>
    <col min="11789" max="11789" width="14.7109375" customWidth="1"/>
    <col min="11790" max="11790" width="4.85546875" customWidth="1"/>
    <col min="11791" max="11791" width="18.5703125" customWidth="1"/>
    <col min="12033" max="12033" width="33.140625" customWidth="1"/>
    <col min="12034" max="12034" width="11" customWidth="1"/>
    <col min="12035" max="12035" width="16.85546875" customWidth="1"/>
    <col min="12036" max="12036" width="16.7109375" customWidth="1"/>
    <col min="12037" max="12037" width="14.7109375" customWidth="1"/>
    <col min="12038" max="12038" width="4.85546875" customWidth="1"/>
    <col min="12039" max="12039" width="14.7109375" customWidth="1"/>
    <col min="12040" max="12040" width="18.28515625" customWidth="1"/>
    <col min="12041" max="12041" width="15.5703125" customWidth="1"/>
    <col min="12042" max="12042" width="6.140625" customWidth="1"/>
    <col min="12043" max="12043" width="14.7109375" customWidth="1"/>
    <col min="12044" max="12044" width="16.140625" customWidth="1"/>
    <col min="12045" max="12045" width="14.7109375" customWidth="1"/>
    <col min="12046" max="12046" width="4.85546875" customWidth="1"/>
    <col min="12047" max="12047" width="18.5703125" customWidth="1"/>
    <col min="12289" max="12289" width="33.140625" customWidth="1"/>
    <col min="12290" max="12290" width="11" customWidth="1"/>
    <col min="12291" max="12291" width="16.85546875" customWidth="1"/>
    <col min="12292" max="12292" width="16.7109375" customWidth="1"/>
    <col min="12293" max="12293" width="14.7109375" customWidth="1"/>
    <col min="12294" max="12294" width="4.85546875" customWidth="1"/>
    <col min="12295" max="12295" width="14.7109375" customWidth="1"/>
    <col min="12296" max="12296" width="18.28515625" customWidth="1"/>
    <col min="12297" max="12297" width="15.5703125" customWidth="1"/>
    <col min="12298" max="12298" width="6.140625" customWidth="1"/>
    <col min="12299" max="12299" width="14.7109375" customWidth="1"/>
    <col min="12300" max="12300" width="16.140625" customWidth="1"/>
    <col min="12301" max="12301" width="14.7109375" customWidth="1"/>
    <col min="12302" max="12302" width="4.85546875" customWidth="1"/>
    <col min="12303" max="12303" width="18.5703125" customWidth="1"/>
    <col min="12545" max="12545" width="33.140625" customWidth="1"/>
    <col min="12546" max="12546" width="11" customWidth="1"/>
    <col min="12547" max="12547" width="16.85546875" customWidth="1"/>
    <col min="12548" max="12548" width="16.7109375" customWidth="1"/>
    <col min="12549" max="12549" width="14.7109375" customWidth="1"/>
    <col min="12550" max="12550" width="4.85546875" customWidth="1"/>
    <col min="12551" max="12551" width="14.7109375" customWidth="1"/>
    <col min="12552" max="12552" width="18.28515625" customWidth="1"/>
    <col min="12553" max="12553" width="15.5703125" customWidth="1"/>
    <col min="12554" max="12554" width="6.140625" customWidth="1"/>
    <col min="12555" max="12555" width="14.7109375" customWidth="1"/>
    <col min="12556" max="12556" width="16.140625" customWidth="1"/>
    <col min="12557" max="12557" width="14.7109375" customWidth="1"/>
    <col min="12558" max="12558" width="4.85546875" customWidth="1"/>
    <col min="12559" max="12559" width="18.5703125" customWidth="1"/>
    <col min="12801" max="12801" width="33.140625" customWidth="1"/>
    <col min="12802" max="12802" width="11" customWidth="1"/>
    <col min="12803" max="12803" width="16.85546875" customWidth="1"/>
    <col min="12804" max="12804" width="16.7109375" customWidth="1"/>
    <col min="12805" max="12805" width="14.7109375" customWidth="1"/>
    <col min="12806" max="12806" width="4.85546875" customWidth="1"/>
    <col min="12807" max="12807" width="14.7109375" customWidth="1"/>
    <col min="12808" max="12808" width="18.28515625" customWidth="1"/>
    <col min="12809" max="12809" width="15.5703125" customWidth="1"/>
    <col min="12810" max="12810" width="6.140625" customWidth="1"/>
    <col min="12811" max="12811" width="14.7109375" customWidth="1"/>
    <col min="12812" max="12812" width="16.140625" customWidth="1"/>
    <col min="12813" max="12813" width="14.7109375" customWidth="1"/>
    <col min="12814" max="12814" width="4.85546875" customWidth="1"/>
    <col min="12815" max="12815" width="18.5703125" customWidth="1"/>
    <col min="13057" max="13057" width="33.140625" customWidth="1"/>
    <col min="13058" max="13058" width="11" customWidth="1"/>
    <col min="13059" max="13059" width="16.85546875" customWidth="1"/>
    <col min="13060" max="13060" width="16.7109375" customWidth="1"/>
    <col min="13061" max="13061" width="14.7109375" customWidth="1"/>
    <col min="13062" max="13062" width="4.85546875" customWidth="1"/>
    <col min="13063" max="13063" width="14.7109375" customWidth="1"/>
    <col min="13064" max="13064" width="18.28515625" customWidth="1"/>
    <col min="13065" max="13065" width="15.5703125" customWidth="1"/>
    <col min="13066" max="13066" width="6.140625" customWidth="1"/>
    <col min="13067" max="13067" width="14.7109375" customWidth="1"/>
    <col min="13068" max="13068" width="16.140625" customWidth="1"/>
    <col min="13069" max="13069" width="14.7109375" customWidth="1"/>
    <col min="13070" max="13070" width="4.85546875" customWidth="1"/>
    <col min="13071" max="13071" width="18.5703125" customWidth="1"/>
    <col min="13313" max="13313" width="33.140625" customWidth="1"/>
    <col min="13314" max="13314" width="11" customWidth="1"/>
    <col min="13315" max="13315" width="16.85546875" customWidth="1"/>
    <col min="13316" max="13316" width="16.7109375" customWidth="1"/>
    <col min="13317" max="13317" width="14.7109375" customWidth="1"/>
    <col min="13318" max="13318" width="4.85546875" customWidth="1"/>
    <col min="13319" max="13319" width="14.7109375" customWidth="1"/>
    <col min="13320" max="13320" width="18.28515625" customWidth="1"/>
    <col min="13321" max="13321" width="15.5703125" customWidth="1"/>
    <col min="13322" max="13322" width="6.140625" customWidth="1"/>
    <col min="13323" max="13323" width="14.7109375" customWidth="1"/>
    <col min="13324" max="13324" width="16.140625" customWidth="1"/>
    <col min="13325" max="13325" width="14.7109375" customWidth="1"/>
    <col min="13326" max="13326" width="4.85546875" customWidth="1"/>
    <col min="13327" max="13327" width="18.5703125" customWidth="1"/>
    <col min="13569" max="13569" width="33.140625" customWidth="1"/>
    <col min="13570" max="13570" width="11" customWidth="1"/>
    <col min="13571" max="13571" width="16.85546875" customWidth="1"/>
    <col min="13572" max="13572" width="16.7109375" customWidth="1"/>
    <col min="13573" max="13573" width="14.7109375" customWidth="1"/>
    <col min="13574" max="13574" width="4.85546875" customWidth="1"/>
    <col min="13575" max="13575" width="14.7109375" customWidth="1"/>
    <col min="13576" max="13576" width="18.28515625" customWidth="1"/>
    <col min="13577" max="13577" width="15.5703125" customWidth="1"/>
    <col min="13578" max="13578" width="6.140625" customWidth="1"/>
    <col min="13579" max="13579" width="14.7109375" customWidth="1"/>
    <col min="13580" max="13580" width="16.140625" customWidth="1"/>
    <col min="13581" max="13581" width="14.7109375" customWidth="1"/>
    <col min="13582" max="13582" width="4.85546875" customWidth="1"/>
    <col min="13583" max="13583" width="18.5703125" customWidth="1"/>
    <col min="13825" max="13825" width="33.140625" customWidth="1"/>
    <col min="13826" max="13826" width="11" customWidth="1"/>
    <col min="13827" max="13827" width="16.85546875" customWidth="1"/>
    <col min="13828" max="13828" width="16.7109375" customWidth="1"/>
    <col min="13829" max="13829" width="14.7109375" customWidth="1"/>
    <col min="13830" max="13830" width="4.85546875" customWidth="1"/>
    <col min="13831" max="13831" width="14.7109375" customWidth="1"/>
    <col min="13832" max="13832" width="18.28515625" customWidth="1"/>
    <col min="13833" max="13833" width="15.5703125" customWidth="1"/>
    <col min="13834" max="13834" width="6.140625" customWidth="1"/>
    <col min="13835" max="13835" width="14.7109375" customWidth="1"/>
    <col min="13836" max="13836" width="16.140625" customWidth="1"/>
    <col min="13837" max="13837" width="14.7109375" customWidth="1"/>
    <col min="13838" max="13838" width="4.85546875" customWidth="1"/>
    <col min="13839" max="13839" width="18.5703125" customWidth="1"/>
    <col min="14081" max="14081" width="33.140625" customWidth="1"/>
    <col min="14082" max="14082" width="11" customWidth="1"/>
    <col min="14083" max="14083" width="16.85546875" customWidth="1"/>
    <col min="14084" max="14084" width="16.7109375" customWidth="1"/>
    <col min="14085" max="14085" width="14.7109375" customWidth="1"/>
    <col min="14086" max="14086" width="4.85546875" customWidth="1"/>
    <col min="14087" max="14087" width="14.7109375" customWidth="1"/>
    <col min="14088" max="14088" width="18.28515625" customWidth="1"/>
    <col min="14089" max="14089" width="15.5703125" customWidth="1"/>
    <col min="14090" max="14090" width="6.140625" customWidth="1"/>
    <col min="14091" max="14091" width="14.7109375" customWidth="1"/>
    <col min="14092" max="14092" width="16.140625" customWidth="1"/>
    <col min="14093" max="14093" width="14.7109375" customWidth="1"/>
    <col min="14094" max="14094" width="4.85546875" customWidth="1"/>
    <col min="14095" max="14095" width="18.5703125" customWidth="1"/>
    <col min="14337" max="14337" width="33.140625" customWidth="1"/>
    <col min="14338" max="14338" width="11" customWidth="1"/>
    <col min="14339" max="14339" width="16.85546875" customWidth="1"/>
    <col min="14340" max="14340" width="16.7109375" customWidth="1"/>
    <col min="14341" max="14341" width="14.7109375" customWidth="1"/>
    <col min="14342" max="14342" width="4.85546875" customWidth="1"/>
    <col min="14343" max="14343" width="14.7109375" customWidth="1"/>
    <col min="14344" max="14344" width="18.28515625" customWidth="1"/>
    <col min="14345" max="14345" width="15.5703125" customWidth="1"/>
    <col min="14346" max="14346" width="6.140625" customWidth="1"/>
    <col min="14347" max="14347" width="14.7109375" customWidth="1"/>
    <col min="14348" max="14348" width="16.140625" customWidth="1"/>
    <col min="14349" max="14349" width="14.7109375" customWidth="1"/>
    <col min="14350" max="14350" width="4.85546875" customWidth="1"/>
    <col min="14351" max="14351" width="18.5703125" customWidth="1"/>
    <col min="14593" max="14593" width="33.140625" customWidth="1"/>
    <col min="14594" max="14594" width="11" customWidth="1"/>
    <col min="14595" max="14595" width="16.85546875" customWidth="1"/>
    <col min="14596" max="14596" width="16.7109375" customWidth="1"/>
    <col min="14597" max="14597" width="14.7109375" customWidth="1"/>
    <col min="14598" max="14598" width="4.85546875" customWidth="1"/>
    <col min="14599" max="14599" width="14.7109375" customWidth="1"/>
    <col min="14600" max="14600" width="18.28515625" customWidth="1"/>
    <col min="14601" max="14601" width="15.5703125" customWidth="1"/>
    <col min="14602" max="14602" width="6.140625" customWidth="1"/>
    <col min="14603" max="14603" width="14.7109375" customWidth="1"/>
    <col min="14604" max="14604" width="16.140625" customWidth="1"/>
    <col min="14605" max="14605" width="14.7109375" customWidth="1"/>
    <col min="14606" max="14606" width="4.85546875" customWidth="1"/>
    <col min="14607" max="14607" width="18.5703125" customWidth="1"/>
    <col min="14849" max="14849" width="33.140625" customWidth="1"/>
    <col min="14850" max="14850" width="11" customWidth="1"/>
    <col min="14851" max="14851" width="16.85546875" customWidth="1"/>
    <col min="14852" max="14852" width="16.7109375" customWidth="1"/>
    <col min="14853" max="14853" width="14.7109375" customWidth="1"/>
    <col min="14854" max="14854" width="4.85546875" customWidth="1"/>
    <col min="14855" max="14855" width="14.7109375" customWidth="1"/>
    <col min="14856" max="14856" width="18.28515625" customWidth="1"/>
    <col min="14857" max="14857" width="15.5703125" customWidth="1"/>
    <col min="14858" max="14858" width="6.140625" customWidth="1"/>
    <col min="14859" max="14859" width="14.7109375" customWidth="1"/>
    <col min="14860" max="14860" width="16.140625" customWidth="1"/>
    <col min="14861" max="14861" width="14.7109375" customWidth="1"/>
    <col min="14862" max="14862" width="4.85546875" customWidth="1"/>
    <col min="14863" max="14863" width="18.5703125" customWidth="1"/>
    <col min="15105" max="15105" width="33.140625" customWidth="1"/>
    <col min="15106" max="15106" width="11" customWidth="1"/>
    <col min="15107" max="15107" width="16.85546875" customWidth="1"/>
    <col min="15108" max="15108" width="16.7109375" customWidth="1"/>
    <col min="15109" max="15109" width="14.7109375" customWidth="1"/>
    <col min="15110" max="15110" width="4.85546875" customWidth="1"/>
    <col min="15111" max="15111" width="14.7109375" customWidth="1"/>
    <col min="15112" max="15112" width="18.28515625" customWidth="1"/>
    <col min="15113" max="15113" width="15.5703125" customWidth="1"/>
    <col min="15114" max="15114" width="6.140625" customWidth="1"/>
    <col min="15115" max="15115" width="14.7109375" customWidth="1"/>
    <col min="15116" max="15116" width="16.140625" customWidth="1"/>
    <col min="15117" max="15117" width="14.7109375" customWidth="1"/>
    <col min="15118" max="15118" width="4.85546875" customWidth="1"/>
    <col min="15119" max="15119" width="18.5703125" customWidth="1"/>
    <col min="15361" max="15361" width="33.140625" customWidth="1"/>
    <col min="15362" max="15362" width="11" customWidth="1"/>
    <col min="15363" max="15363" width="16.85546875" customWidth="1"/>
    <col min="15364" max="15364" width="16.7109375" customWidth="1"/>
    <col min="15365" max="15365" width="14.7109375" customWidth="1"/>
    <col min="15366" max="15366" width="4.85546875" customWidth="1"/>
    <col min="15367" max="15367" width="14.7109375" customWidth="1"/>
    <col min="15368" max="15368" width="18.28515625" customWidth="1"/>
    <col min="15369" max="15369" width="15.5703125" customWidth="1"/>
    <col min="15370" max="15370" width="6.140625" customWidth="1"/>
    <col min="15371" max="15371" width="14.7109375" customWidth="1"/>
    <col min="15372" max="15372" width="16.140625" customWidth="1"/>
    <col min="15373" max="15373" width="14.7109375" customWidth="1"/>
    <col min="15374" max="15374" width="4.85546875" customWidth="1"/>
    <col min="15375" max="15375" width="18.5703125" customWidth="1"/>
    <col min="15617" max="15617" width="33.140625" customWidth="1"/>
    <col min="15618" max="15618" width="11" customWidth="1"/>
    <col min="15619" max="15619" width="16.85546875" customWidth="1"/>
    <col min="15620" max="15620" width="16.7109375" customWidth="1"/>
    <col min="15621" max="15621" width="14.7109375" customWidth="1"/>
    <col min="15622" max="15622" width="4.85546875" customWidth="1"/>
    <col min="15623" max="15623" width="14.7109375" customWidth="1"/>
    <col min="15624" max="15624" width="18.28515625" customWidth="1"/>
    <col min="15625" max="15625" width="15.5703125" customWidth="1"/>
    <col min="15626" max="15626" width="6.140625" customWidth="1"/>
    <col min="15627" max="15627" width="14.7109375" customWidth="1"/>
    <col min="15628" max="15628" width="16.140625" customWidth="1"/>
    <col min="15629" max="15629" width="14.7109375" customWidth="1"/>
    <col min="15630" max="15630" width="4.85546875" customWidth="1"/>
    <col min="15631" max="15631" width="18.5703125" customWidth="1"/>
    <col min="15873" max="15873" width="33.140625" customWidth="1"/>
    <col min="15874" max="15874" width="11" customWidth="1"/>
    <col min="15875" max="15875" width="16.85546875" customWidth="1"/>
    <col min="15876" max="15876" width="16.7109375" customWidth="1"/>
    <col min="15877" max="15877" width="14.7109375" customWidth="1"/>
    <col min="15878" max="15878" width="4.85546875" customWidth="1"/>
    <col min="15879" max="15879" width="14.7109375" customWidth="1"/>
    <col min="15880" max="15880" width="18.28515625" customWidth="1"/>
    <col min="15881" max="15881" width="15.5703125" customWidth="1"/>
    <col min="15882" max="15882" width="6.140625" customWidth="1"/>
    <col min="15883" max="15883" width="14.7109375" customWidth="1"/>
    <col min="15884" max="15884" width="16.140625" customWidth="1"/>
    <col min="15885" max="15885" width="14.7109375" customWidth="1"/>
    <col min="15886" max="15886" width="4.85546875" customWidth="1"/>
    <col min="15887" max="15887" width="18.5703125" customWidth="1"/>
    <col min="16129" max="16129" width="33.140625" customWidth="1"/>
    <col min="16130" max="16130" width="11" customWidth="1"/>
    <col min="16131" max="16131" width="16.85546875" customWidth="1"/>
    <col min="16132" max="16132" width="16.7109375" customWidth="1"/>
    <col min="16133" max="16133" width="14.7109375" customWidth="1"/>
    <col min="16134" max="16134" width="4.85546875" customWidth="1"/>
    <col min="16135" max="16135" width="14.7109375" customWidth="1"/>
    <col min="16136" max="16136" width="18.28515625" customWidth="1"/>
    <col min="16137" max="16137" width="15.5703125" customWidth="1"/>
    <col min="16138" max="16138" width="6.140625" customWidth="1"/>
    <col min="16139" max="16139" width="14.7109375" customWidth="1"/>
    <col min="16140" max="16140" width="16.140625" customWidth="1"/>
    <col min="16141" max="16141" width="14.7109375" customWidth="1"/>
    <col min="16142" max="16142" width="4.85546875" customWidth="1"/>
    <col min="16143" max="16143" width="18.5703125" customWidth="1"/>
  </cols>
  <sheetData>
    <row r="1" spans="1:19" ht="15.75">
      <c r="A1" s="881" t="s">
        <v>114</v>
      </c>
      <c r="B1" s="763"/>
      <c r="C1" s="763"/>
      <c r="D1" s="763"/>
      <c r="E1" s="763"/>
      <c r="F1" s="763"/>
      <c r="G1" s="264"/>
      <c r="H1" s="763"/>
      <c r="I1" s="763"/>
      <c r="J1" s="763"/>
      <c r="K1" s="763"/>
      <c r="L1" s="763"/>
      <c r="M1" s="763"/>
      <c r="N1" s="763"/>
      <c r="O1" s="763"/>
      <c r="P1" s="763"/>
      <c r="Q1" s="763"/>
      <c r="R1" s="763"/>
      <c r="S1" s="763"/>
    </row>
    <row r="2" spans="1:19" ht="15.75">
      <c r="A2" s="881" t="s">
        <v>114</v>
      </c>
      <c r="B2" s="763"/>
      <c r="C2" s="763"/>
      <c r="D2" s="763"/>
      <c r="E2" s="763"/>
      <c r="F2" s="763"/>
      <c r="G2" s="264"/>
      <c r="H2" s="763"/>
      <c r="I2" s="763"/>
      <c r="J2" s="763"/>
      <c r="K2" s="763"/>
      <c r="L2" s="763"/>
      <c r="M2" s="763"/>
      <c r="N2" s="763"/>
      <c r="O2" s="763"/>
      <c r="P2" s="763"/>
      <c r="Q2" s="763"/>
      <c r="R2" s="763"/>
      <c r="S2" s="763"/>
    </row>
    <row r="3" spans="1:19" ht="19.5">
      <c r="A3" s="1647" t="s">
        <v>391</v>
      </c>
      <c r="B3" s="1647"/>
      <c r="C3" s="1647"/>
      <c r="D3" s="1647"/>
      <c r="E3" s="1647"/>
      <c r="F3" s="1647"/>
      <c r="G3" s="1647"/>
      <c r="H3" s="1647"/>
      <c r="I3" s="1647"/>
      <c r="J3" s="1647"/>
      <c r="K3" s="1647"/>
      <c r="L3" s="1647"/>
      <c r="M3" s="1647"/>
      <c r="N3" s="1647"/>
      <c r="O3" s="1647"/>
      <c r="P3" s="762"/>
      <c r="Q3" s="762"/>
      <c r="R3" s="762"/>
      <c r="S3" s="762"/>
    </row>
    <row r="4" spans="1:19" ht="19.5">
      <c r="A4" s="1647" t="s">
        <v>392</v>
      </c>
      <c r="B4" s="1647"/>
      <c r="C4" s="1647"/>
      <c r="D4" s="1647"/>
      <c r="E4" s="1647"/>
      <c r="F4" s="1647"/>
      <c r="G4" s="1647"/>
      <c r="H4" s="1647"/>
      <c r="I4" s="1647"/>
      <c r="J4" s="1647"/>
      <c r="K4" s="1647"/>
      <c r="L4" s="1647"/>
      <c r="M4" s="1647"/>
      <c r="N4" s="1647"/>
      <c r="O4" s="1647"/>
      <c r="P4" s="762"/>
      <c r="Q4" s="762"/>
      <c r="R4" s="762"/>
      <c r="S4" s="762"/>
    </row>
    <row r="5" spans="1:19" ht="19.5">
      <c r="A5" s="1647" t="s">
        <v>393</v>
      </c>
      <c r="B5" s="1647"/>
      <c r="C5" s="1647"/>
      <c r="D5" s="1647"/>
      <c r="E5" s="1647"/>
      <c r="F5" s="1647"/>
      <c r="G5" s="1647"/>
      <c r="H5" s="1647"/>
      <c r="I5" s="1647"/>
      <c r="J5" s="1647"/>
      <c r="K5" s="1647"/>
      <c r="L5" s="1647"/>
      <c r="M5" s="1647"/>
      <c r="N5" s="1647"/>
      <c r="O5" s="1647"/>
      <c r="P5" s="762"/>
      <c r="Q5" s="762"/>
      <c r="R5" s="762"/>
      <c r="S5" s="762"/>
    </row>
    <row r="6" spans="1:19" ht="19.5">
      <c r="A6" s="1647" t="s">
        <v>394</v>
      </c>
      <c r="B6" s="1647"/>
      <c r="C6" s="1647"/>
      <c r="D6" s="1647"/>
      <c r="E6" s="1647"/>
      <c r="F6" s="1647"/>
      <c r="G6" s="1647"/>
      <c r="H6" s="1647"/>
      <c r="I6" s="1647"/>
      <c r="J6" s="1647"/>
      <c r="K6" s="1647"/>
      <c r="L6" s="1647"/>
      <c r="M6" s="1647"/>
      <c r="N6" s="1647"/>
      <c r="O6" s="1647"/>
      <c r="P6" s="762"/>
      <c r="Q6" s="762"/>
      <c r="R6" s="762"/>
      <c r="S6" s="762"/>
    </row>
    <row r="7" spans="1:19" ht="19.5">
      <c r="A7" s="1647" t="s">
        <v>1142</v>
      </c>
      <c r="B7" s="1647"/>
      <c r="C7" s="1647"/>
      <c r="D7" s="1647"/>
      <c r="E7" s="1647"/>
      <c r="F7" s="1647"/>
      <c r="G7" s="1647"/>
      <c r="H7" s="1647"/>
      <c r="I7" s="1647"/>
      <c r="J7" s="1647"/>
      <c r="K7" s="1647"/>
      <c r="L7" s="1647"/>
      <c r="M7" s="1647"/>
      <c r="N7" s="1647"/>
      <c r="O7" s="1647"/>
      <c r="P7" s="762"/>
      <c r="Q7" s="762"/>
      <c r="R7" s="762"/>
      <c r="S7" s="762"/>
    </row>
    <row r="8" spans="1:19" ht="19.5">
      <c r="A8" s="1647" t="s">
        <v>395</v>
      </c>
      <c r="B8" s="1647"/>
      <c r="C8" s="1647"/>
      <c r="D8" s="1647"/>
      <c r="E8" s="1647"/>
      <c r="F8" s="1647"/>
      <c r="G8" s="1647"/>
      <c r="H8" s="1647"/>
      <c r="I8" s="1647"/>
      <c r="J8" s="1647"/>
      <c r="K8" s="1647"/>
      <c r="L8" s="1647"/>
      <c r="M8" s="1647"/>
      <c r="N8" s="1647"/>
      <c r="O8" s="1647"/>
      <c r="P8" s="762"/>
      <c r="Q8" s="762"/>
      <c r="R8" s="762"/>
      <c r="S8" s="762"/>
    </row>
    <row r="9" spans="1:19" ht="19.5">
      <c r="A9" s="1646" t="s">
        <v>1166</v>
      </c>
      <c r="B9" s="1647"/>
      <c r="C9" s="1647"/>
      <c r="D9" s="1647"/>
      <c r="E9" s="1647"/>
      <c r="F9" s="1647"/>
      <c r="G9" s="1647"/>
      <c r="H9" s="1647"/>
      <c r="I9" s="1647"/>
      <c r="J9" s="1647"/>
      <c r="K9" s="1647"/>
      <c r="L9" s="1647"/>
      <c r="M9" s="1647"/>
      <c r="N9" s="1647"/>
      <c r="O9" s="1647"/>
      <c r="P9" s="762"/>
      <c r="Q9" s="762"/>
      <c r="R9" s="762"/>
      <c r="S9" s="762"/>
    </row>
    <row r="10" spans="1:19" ht="19.5">
      <c r="A10" s="1648"/>
      <c r="B10" s="1648"/>
      <c r="C10" s="1648"/>
      <c r="D10" s="1648"/>
      <c r="E10" s="1648"/>
      <c r="F10" s="1648"/>
      <c r="G10" s="1648"/>
      <c r="H10" s="1648"/>
      <c r="I10" s="1648"/>
      <c r="J10" s="1648"/>
      <c r="K10" s="1648"/>
      <c r="L10" s="1648"/>
      <c r="M10" s="1648"/>
      <c r="N10" s="1648"/>
      <c r="O10" s="1648"/>
      <c r="P10" s="764"/>
      <c r="Q10" s="764"/>
      <c r="R10" s="764"/>
      <c r="S10" s="764"/>
    </row>
    <row r="11" spans="1:19" ht="15">
      <c r="A11" s="763"/>
      <c r="B11" s="763"/>
      <c r="C11" s="763"/>
      <c r="D11" s="763"/>
      <c r="E11" s="763"/>
      <c r="F11" s="763"/>
      <c r="G11" s="264"/>
      <c r="H11" s="763"/>
      <c r="I11" s="763"/>
      <c r="J11" s="763"/>
      <c r="K11" s="763"/>
      <c r="L11" s="763"/>
      <c r="M11" s="763"/>
      <c r="N11" s="763"/>
      <c r="O11" s="763"/>
      <c r="P11" s="763"/>
      <c r="Q11" s="763"/>
      <c r="R11" s="763"/>
      <c r="S11" s="763"/>
    </row>
    <row r="12" spans="1:19" ht="16.5" thickBot="1">
      <c r="A12" s="765"/>
      <c r="B12" s="765"/>
      <c r="C12" s="1649" t="s">
        <v>597</v>
      </c>
      <c r="D12" s="1649"/>
      <c r="E12" s="1649"/>
      <c r="F12" s="765"/>
      <c r="G12" s="1649" t="s">
        <v>598</v>
      </c>
      <c r="H12" s="1649"/>
      <c r="I12" s="1649"/>
      <c r="J12" s="765"/>
      <c r="K12" s="1649" t="s">
        <v>396</v>
      </c>
      <c r="L12" s="1649"/>
      <c r="M12" s="1649"/>
      <c r="N12" s="765"/>
      <c r="O12" s="1649" t="s">
        <v>599</v>
      </c>
      <c r="P12" s="1649"/>
      <c r="Q12" s="1649"/>
      <c r="R12" s="765"/>
      <c r="S12" s="1300" t="s">
        <v>397</v>
      </c>
    </row>
    <row r="13" spans="1:19" ht="15">
      <c r="A13" s="765"/>
      <c r="B13" s="765"/>
      <c r="C13" s="766" t="s">
        <v>121</v>
      </c>
      <c r="D13" s="767"/>
      <c r="E13" s="767"/>
      <c r="F13" s="767"/>
      <c r="G13" s="768" t="s">
        <v>122</v>
      </c>
      <c r="H13" s="769"/>
      <c r="I13" s="769"/>
      <c r="J13" s="769"/>
      <c r="K13" s="770" t="s">
        <v>123</v>
      </c>
      <c r="L13" s="769"/>
      <c r="M13" s="769"/>
      <c r="N13" s="769"/>
      <c r="O13" s="771" t="s">
        <v>124</v>
      </c>
      <c r="P13" s="769"/>
      <c r="Q13" s="769"/>
      <c r="R13" s="769"/>
      <c r="S13" s="769"/>
    </row>
    <row r="14" spans="1:19" ht="15">
      <c r="A14" s="765"/>
      <c r="B14" s="765"/>
      <c r="C14" s="766" t="s">
        <v>114</v>
      </c>
      <c r="D14" s="767"/>
      <c r="E14" s="766" t="s">
        <v>398</v>
      </c>
      <c r="F14" s="767"/>
      <c r="G14" s="768" t="s">
        <v>600</v>
      </c>
      <c r="H14" s="767"/>
      <c r="I14" s="766" t="s">
        <v>398</v>
      </c>
      <c r="J14" s="767"/>
      <c r="K14" s="763"/>
      <c r="L14" s="767"/>
      <c r="M14" s="766" t="s">
        <v>398</v>
      </c>
      <c r="N14" s="767"/>
      <c r="O14" s="763"/>
      <c r="P14" s="767"/>
      <c r="Q14" s="766" t="s">
        <v>398</v>
      </c>
      <c r="R14" s="767"/>
      <c r="S14" s="766" t="s">
        <v>398</v>
      </c>
    </row>
    <row r="15" spans="1:19" ht="15">
      <c r="A15" s="765"/>
      <c r="B15" s="766" t="s">
        <v>399</v>
      </c>
      <c r="C15" s="766" t="s">
        <v>601</v>
      </c>
      <c r="D15" s="766" t="s">
        <v>400</v>
      </c>
      <c r="E15" s="766" t="s">
        <v>401</v>
      </c>
      <c r="F15" s="767"/>
      <c r="G15" s="768" t="s">
        <v>402</v>
      </c>
      <c r="H15" s="766" t="s">
        <v>400</v>
      </c>
      <c r="I15" s="766" t="s">
        <v>401</v>
      </c>
      <c r="J15" s="767"/>
      <c r="K15" s="766" t="s">
        <v>80</v>
      </c>
      <c r="L15" s="766" t="s">
        <v>400</v>
      </c>
      <c r="M15" s="766" t="s">
        <v>401</v>
      </c>
      <c r="N15" s="767"/>
      <c r="O15" s="766" t="s">
        <v>80</v>
      </c>
      <c r="P15" s="766" t="s">
        <v>400</v>
      </c>
      <c r="Q15" s="766" t="s">
        <v>401</v>
      </c>
      <c r="R15" s="767"/>
      <c r="S15" s="766" t="s">
        <v>401</v>
      </c>
    </row>
    <row r="16" spans="1:19" ht="15">
      <c r="A16" s="766"/>
      <c r="B16" s="766" t="s">
        <v>403</v>
      </c>
      <c r="C16" s="766" t="s">
        <v>404</v>
      </c>
      <c r="D16" s="766" t="s">
        <v>602</v>
      </c>
      <c r="E16" s="766" t="s">
        <v>405</v>
      </c>
      <c r="F16" s="767"/>
      <c r="G16" s="768" t="s">
        <v>404</v>
      </c>
      <c r="H16" s="766" t="s">
        <v>602</v>
      </c>
      <c r="I16" s="766" t="s">
        <v>405</v>
      </c>
      <c r="J16" s="767"/>
      <c r="K16" s="766" t="s">
        <v>404</v>
      </c>
      <c r="L16" s="766" t="s">
        <v>602</v>
      </c>
      <c r="M16" s="766" t="s">
        <v>405</v>
      </c>
      <c r="N16" s="767"/>
      <c r="O16" s="766" t="s">
        <v>404</v>
      </c>
      <c r="P16" s="766" t="s">
        <v>602</v>
      </c>
      <c r="Q16" s="766" t="s">
        <v>405</v>
      </c>
      <c r="R16" s="767"/>
      <c r="S16" s="766" t="s">
        <v>405</v>
      </c>
    </row>
    <row r="17" spans="1:19" ht="15">
      <c r="A17" s="763"/>
      <c r="B17" s="763"/>
      <c r="C17" s="763"/>
      <c r="D17" s="763"/>
      <c r="E17" s="763"/>
      <c r="F17" s="763"/>
      <c r="G17" s="264"/>
      <c r="H17" s="763"/>
      <c r="I17" s="763"/>
      <c r="J17" s="763"/>
      <c r="K17" s="763"/>
      <c r="L17" s="763"/>
      <c r="M17" s="763"/>
      <c r="N17" s="763"/>
      <c r="O17" s="763"/>
      <c r="P17" s="763"/>
      <c r="Q17" s="763"/>
      <c r="R17" s="763"/>
      <c r="S17" s="763"/>
    </row>
    <row r="18" spans="1:19" ht="15.75" thickBot="1">
      <c r="A18" s="772"/>
      <c r="B18" s="765"/>
      <c r="C18" s="258"/>
      <c r="D18" s="765"/>
      <c r="E18" s="765"/>
      <c r="F18" s="765"/>
      <c r="G18" s="258"/>
      <c r="H18" s="765"/>
      <c r="I18" s="765"/>
      <c r="J18" s="765"/>
      <c r="K18" s="297"/>
      <c r="L18" s="765"/>
      <c r="M18" s="765"/>
      <c r="N18" s="765"/>
      <c r="O18" s="297"/>
      <c r="P18" s="765"/>
      <c r="Q18" s="765"/>
      <c r="R18" s="765"/>
      <c r="S18" s="765"/>
    </row>
    <row r="19" spans="1:19" ht="15">
      <c r="A19" s="773" t="s">
        <v>406</v>
      </c>
      <c r="B19" s="774"/>
      <c r="C19" s="259"/>
      <c r="D19" s="260"/>
      <c r="E19" s="261"/>
      <c r="F19" s="774"/>
      <c r="G19" s="259"/>
      <c r="H19" s="262"/>
      <c r="I19" s="261"/>
      <c r="J19" s="774"/>
      <c r="K19" s="774"/>
      <c r="L19" s="262"/>
      <c r="M19" s="261"/>
      <c r="N19" s="774"/>
      <c r="O19" s="774"/>
      <c r="P19" s="260"/>
      <c r="Q19" s="261"/>
      <c r="R19" s="774"/>
      <c r="S19" s="261"/>
    </row>
    <row r="20" spans="1:19" ht="15">
      <c r="A20" s="775" t="s">
        <v>603</v>
      </c>
      <c r="B20" s="263">
        <v>350.1</v>
      </c>
      <c r="C20" s="258">
        <v>6.5839999999999996E-3</v>
      </c>
      <c r="D20" s="298">
        <v>1</v>
      </c>
      <c r="E20" s="258">
        <f>ROUND((C20*D20),4)</f>
        <v>6.6E-3</v>
      </c>
      <c r="F20" s="776"/>
      <c r="G20" s="258"/>
      <c r="H20" s="299"/>
      <c r="I20" s="264"/>
      <c r="J20" s="776"/>
      <c r="K20" s="258"/>
      <c r="L20" s="299"/>
      <c r="M20" s="300"/>
      <c r="N20" s="776"/>
      <c r="O20" s="258"/>
      <c r="P20" s="298"/>
      <c r="Q20" s="300"/>
      <c r="R20" s="776"/>
      <c r="S20" s="258">
        <f>ROUND((((E20+I20)+M20)+Q20),4)</f>
        <v>6.6E-3</v>
      </c>
    </row>
    <row r="21" spans="1:19" ht="15">
      <c r="A21" s="775" t="s">
        <v>604</v>
      </c>
      <c r="B21" s="263">
        <v>351</v>
      </c>
      <c r="C21" s="258"/>
      <c r="D21" s="298"/>
      <c r="E21" s="258"/>
      <c r="F21" s="776"/>
      <c r="G21" s="258">
        <v>0.14219999999999999</v>
      </c>
      <c r="H21" s="299">
        <v>1</v>
      </c>
      <c r="I21" s="258">
        <f>ROUND((G21*H21),4)</f>
        <v>0.14219999999999999</v>
      </c>
      <c r="J21" s="776"/>
      <c r="K21" s="258"/>
      <c r="L21" s="299"/>
      <c r="M21" s="300"/>
      <c r="N21" s="776"/>
      <c r="O21" s="258"/>
      <c r="P21" s="298"/>
      <c r="Q21" s="300"/>
      <c r="R21" s="776"/>
      <c r="S21" s="258">
        <f>I21</f>
        <v>0.14219999999999999</v>
      </c>
    </row>
    <row r="22" spans="1:19" ht="15">
      <c r="A22" s="777" t="s">
        <v>407</v>
      </c>
      <c r="B22" s="263">
        <v>352</v>
      </c>
      <c r="C22" s="258">
        <v>1.9900000000000001E-2</v>
      </c>
      <c r="D22" s="265">
        <v>0.49482100000000001</v>
      </c>
      <c r="E22" s="258">
        <f t="shared" ref="E22:E28" si="0">ROUND((C22*D22),4)</f>
        <v>9.7999999999999997E-3</v>
      </c>
      <c r="F22" s="776"/>
      <c r="G22" s="258">
        <v>1.6199999999999999E-2</v>
      </c>
      <c r="H22" s="265">
        <v>0.41108299999999998</v>
      </c>
      <c r="I22" s="258">
        <f t="shared" ref="I22:I28" si="1">ROUND((G22*H22),4)</f>
        <v>6.7000000000000002E-3</v>
      </c>
      <c r="J22" s="776"/>
      <c r="K22" s="258">
        <v>2.1899999999999999E-2</v>
      </c>
      <c r="L22" s="265">
        <v>3.6533000000000003E-2</v>
      </c>
      <c r="M22" s="258">
        <f t="shared" ref="M22:M28" si="2">ROUND((K22*L22),4)</f>
        <v>8.0000000000000004E-4</v>
      </c>
      <c r="N22" s="776"/>
      <c r="O22" s="258">
        <v>2.1899999999999999E-2</v>
      </c>
      <c r="P22" s="265">
        <v>5.7563000000000003E-2</v>
      </c>
      <c r="Q22" s="258">
        <f t="shared" ref="Q22:Q28" si="3">ROUND((O22*P22),4)</f>
        <v>1.2999999999999999E-3</v>
      </c>
      <c r="R22" s="776"/>
      <c r="S22" s="258">
        <f t="shared" ref="S22:S28" si="4">ROUND((((E22+I22)+M22)+Q22),4)</f>
        <v>1.8599999999999998E-2</v>
      </c>
    </row>
    <row r="23" spans="1:19" ht="15">
      <c r="A23" s="777" t="s">
        <v>408</v>
      </c>
      <c r="B23" s="263">
        <v>353</v>
      </c>
      <c r="C23" s="258">
        <v>2.7E-2</v>
      </c>
      <c r="D23" s="265">
        <v>0.49482100000000001</v>
      </c>
      <c r="E23" s="258">
        <f t="shared" si="0"/>
        <v>1.34E-2</v>
      </c>
      <c r="F23" s="776"/>
      <c r="G23" s="258">
        <v>2.3699999999999999E-2</v>
      </c>
      <c r="H23" s="265">
        <v>0.41108299999999998</v>
      </c>
      <c r="I23" s="258">
        <f t="shared" si="1"/>
        <v>9.7000000000000003E-3</v>
      </c>
      <c r="J23" s="776"/>
      <c r="K23" s="258">
        <v>2.1899999999999999E-2</v>
      </c>
      <c r="L23" s="265">
        <v>3.6533000000000003E-2</v>
      </c>
      <c r="M23" s="258">
        <f t="shared" si="2"/>
        <v>8.0000000000000004E-4</v>
      </c>
      <c r="N23" s="776"/>
      <c r="O23" s="258">
        <v>2.1899999999999999E-2</v>
      </c>
      <c r="P23" s="265">
        <v>5.7563000000000003E-2</v>
      </c>
      <c r="Q23" s="258">
        <f t="shared" si="3"/>
        <v>1.2999999999999999E-3</v>
      </c>
      <c r="R23" s="776"/>
      <c r="S23" s="258">
        <f t="shared" si="4"/>
        <v>2.52E-2</v>
      </c>
    </row>
    <row r="24" spans="1:19" ht="15">
      <c r="A24" s="777" t="s">
        <v>409</v>
      </c>
      <c r="B24" s="263">
        <v>354</v>
      </c>
      <c r="C24" s="258">
        <v>1.6400000000000001E-2</v>
      </c>
      <c r="D24" s="265">
        <v>0.49482100000000001</v>
      </c>
      <c r="E24" s="258">
        <f t="shared" si="0"/>
        <v>8.0999999999999996E-3</v>
      </c>
      <c r="F24" s="776"/>
      <c r="G24" s="258">
        <v>1.5900000000000001E-2</v>
      </c>
      <c r="H24" s="265">
        <v>0.41108299999999998</v>
      </c>
      <c r="I24" s="258">
        <f t="shared" si="1"/>
        <v>6.4999999999999997E-3</v>
      </c>
      <c r="J24" s="776"/>
      <c r="K24" s="258">
        <v>2.1899999999999999E-2</v>
      </c>
      <c r="L24" s="265">
        <v>3.6533000000000003E-2</v>
      </c>
      <c r="M24" s="258">
        <f t="shared" si="2"/>
        <v>8.0000000000000004E-4</v>
      </c>
      <c r="N24" s="776"/>
      <c r="O24" s="258">
        <v>2.1899999999999999E-2</v>
      </c>
      <c r="P24" s="265">
        <v>5.7563000000000003E-2</v>
      </c>
      <c r="Q24" s="258">
        <f t="shared" si="3"/>
        <v>1.2999999999999999E-3</v>
      </c>
      <c r="R24" s="776"/>
      <c r="S24" s="258">
        <f t="shared" si="4"/>
        <v>1.67E-2</v>
      </c>
    </row>
    <row r="25" spans="1:19" ht="15">
      <c r="A25" s="777" t="s">
        <v>410</v>
      </c>
      <c r="B25" s="263">
        <v>355</v>
      </c>
      <c r="C25" s="258">
        <v>3.4599999999999999E-2</v>
      </c>
      <c r="D25" s="265">
        <v>0.49482100000000001</v>
      </c>
      <c r="E25" s="258">
        <f t="shared" si="0"/>
        <v>1.7100000000000001E-2</v>
      </c>
      <c r="F25" s="776"/>
      <c r="G25" s="258">
        <v>2.7099999999999999E-2</v>
      </c>
      <c r="H25" s="265">
        <v>0.41108299999999998</v>
      </c>
      <c r="I25" s="258">
        <f t="shared" si="1"/>
        <v>1.11E-2</v>
      </c>
      <c r="J25" s="776"/>
      <c r="K25" s="258">
        <v>2.1899999999999999E-2</v>
      </c>
      <c r="L25" s="265">
        <v>3.6533000000000003E-2</v>
      </c>
      <c r="M25" s="258">
        <f t="shared" si="2"/>
        <v>8.0000000000000004E-4</v>
      </c>
      <c r="N25" s="776"/>
      <c r="O25" s="258">
        <v>2.1899999999999999E-2</v>
      </c>
      <c r="P25" s="265">
        <v>5.7563000000000003E-2</v>
      </c>
      <c r="Q25" s="258">
        <f t="shared" si="3"/>
        <v>1.2999999999999999E-3</v>
      </c>
      <c r="R25" s="776"/>
      <c r="S25" s="258">
        <f t="shared" si="4"/>
        <v>3.0300000000000001E-2</v>
      </c>
    </row>
    <row r="26" spans="1:19" ht="15">
      <c r="A26" s="777" t="s">
        <v>605</v>
      </c>
      <c r="B26" s="263">
        <v>356</v>
      </c>
      <c r="C26" s="258">
        <v>1.6500000000000001E-2</v>
      </c>
      <c r="D26" s="265">
        <v>0.49482100000000001</v>
      </c>
      <c r="E26" s="258">
        <f t="shared" si="0"/>
        <v>8.2000000000000007E-3</v>
      </c>
      <c r="F26" s="776"/>
      <c r="G26" s="258">
        <v>1.5299999999999999E-2</v>
      </c>
      <c r="H26" s="265">
        <v>0.41108299999999998</v>
      </c>
      <c r="I26" s="258">
        <f t="shared" si="1"/>
        <v>6.3E-3</v>
      </c>
      <c r="J26" s="776"/>
      <c r="K26" s="258">
        <v>2.1899999999999999E-2</v>
      </c>
      <c r="L26" s="265">
        <v>3.6533000000000003E-2</v>
      </c>
      <c r="M26" s="258">
        <f t="shared" si="2"/>
        <v>8.0000000000000004E-4</v>
      </c>
      <c r="N26" s="776"/>
      <c r="O26" s="258">
        <v>2.1899999999999999E-2</v>
      </c>
      <c r="P26" s="265">
        <v>5.7563000000000003E-2</v>
      </c>
      <c r="Q26" s="258">
        <f t="shared" si="3"/>
        <v>1.2999999999999999E-3</v>
      </c>
      <c r="R26" s="776"/>
      <c r="S26" s="258">
        <f t="shared" si="4"/>
        <v>1.66E-2</v>
      </c>
    </row>
    <row r="27" spans="1:19" ht="15">
      <c r="A27" s="777" t="s">
        <v>411</v>
      </c>
      <c r="B27" s="263">
        <v>357</v>
      </c>
      <c r="C27" s="258">
        <v>2.4899999999999999E-2</v>
      </c>
      <c r="D27" s="265">
        <v>0.49482100000000001</v>
      </c>
      <c r="E27" s="258">
        <f t="shared" si="0"/>
        <v>1.23E-2</v>
      </c>
      <c r="F27" s="776"/>
      <c r="G27" s="258">
        <v>3.7100000000000001E-2</v>
      </c>
      <c r="H27" s="265">
        <v>0.41108299999999998</v>
      </c>
      <c r="I27" s="258">
        <f t="shared" si="1"/>
        <v>1.5299999999999999E-2</v>
      </c>
      <c r="J27" s="776"/>
      <c r="K27" s="258">
        <v>2.1899999999999999E-2</v>
      </c>
      <c r="L27" s="265">
        <v>3.6533000000000003E-2</v>
      </c>
      <c r="M27" s="258">
        <f t="shared" si="2"/>
        <v>8.0000000000000004E-4</v>
      </c>
      <c r="N27" s="776"/>
      <c r="O27" s="258">
        <v>2.1899999999999999E-2</v>
      </c>
      <c r="P27" s="265">
        <v>5.7563000000000003E-2</v>
      </c>
      <c r="Q27" s="258">
        <f t="shared" si="3"/>
        <v>1.2999999999999999E-3</v>
      </c>
      <c r="R27" s="776"/>
      <c r="S27" s="258">
        <f t="shared" si="4"/>
        <v>2.9700000000000001E-2</v>
      </c>
    </row>
    <row r="28" spans="1:19" ht="15">
      <c r="A28" s="777" t="s">
        <v>412</v>
      </c>
      <c r="B28" s="263">
        <v>358</v>
      </c>
      <c r="C28" s="258">
        <v>4.7199999999999999E-2</v>
      </c>
      <c r="D28" s="265">
        <v>0.49482100000000001</v>
      </c>
      <c r="E28" s="258">
        <f t="shared" si="0"/>
        <v>2.3400000000000001E-2</v>
      </c>
      <c r="F28" s="776"/>
      <c r="G28" s="258">
        <v>5.2400000000000002E-2</v>
      </c>
      <c r="H28" s="265">
        <v>0.41108299999999998</v>
      </c>
      <c r="I28" s="258">
        <f t="shared" si="1"/>
        <v>2.1499999999999998E-2</v>
      </c>
      <c r="J28" s="776"/>
      <c r="K28" s="297">
        <v>2.1899999999999999E-2</v>
      </c>
      <c r="L28" s="265">
        <v>3.6533000000000003E-2</v>
      </c>
      <c r="M28" s="258">
        <f t="shared" si="2"/>
        <v>8.0000000000000004E-4</v>
      </c>
      <c r="N28" s="776"/>
      <c r="O28" s="297">
        <v>2.1899999999999999E-2</v>
      </c>
      <c r="P28" s="265">
        <v>5.7563000000000003E-2</v>
      </c>
      <c r="Q28" s="258">
        <f t="shared" si="3"/>
        <v>1.2999999999999999E-3</v>
      </c>
      <c r="R28" s="776"/>
      <c r="S28" s="258">
        <f t="shared" si="4"/>
        <v>4.7E-2</v>
      </c>
    </row>
    <row r="29" spans="1:19" ht="15.75" thickBot="1">
      <c r="A29" s="777"/>
      <c r="B29" s="776"/>
      <c r="C29" s="297"/>
      <c r="D29" s="298"/>
      <c r="E29" s="300"/>
      <c r="F29" s="776"/>
      <c r="G29" s="297"/>
      <c r="H29" s="298"/>
      <c r="I29" s="300"/>
      <c r="J29" s="776"/>
      <c r="K29" s="297"/>
      <c r="L29" s="298"/>
      <c r="M29" s="300"/>
      <c r="N29" s="776"/>
      <c r="O29" s="297"/>
      <c r="P29" s="298"/>
      <c r="Q29" s="258"/>
      <c r="R29" s="776"/>
      <c r="S29" s="258"/>
    </row>
    <row r="30" spans="1:19" ht="15">
      <c r="A30" s="1301" t="s">
        <v>1031</v>
      </c>
      <c r="B30" s="1302"/>
      <c r="C30" s="1303"/>
      <c r="D30" s="1304"/>
      <c r="E30" s="1305"/>
      <c r="F30" s="1302"/>
      <c r="G30" s="1303"/>
      <c r="H30" s="1304"/>
      <c r="I30" s="1305"/>
      <c r="J30" s="1302"/>
      <c r="K30" s="1302"/>
      <c r="L30" s="1304"/>
      <c r="M30" s="1305"/>
      <c r="N30" s="1302"/>
      <c r="O30" s="1302"/>
      <c r="P30" s="1304"/>
      <c r="Q30" s="1305"/>
      <c r="R30" s="1302"/>
      <c r="S30" s="1306"/>
    </row>
    <row r="31" spans="1:19" ht="15">
      <c r="A31" s="775" t="s">
        <v>807</v>
      </c>
      <c r="B31" s="263">
        <v>390</v>
      </c>
      <c r="C31" s="258">
        <v>1.89E-2</v>
      </c>
      <c r="D31" s="298">
        <v>0.523756</v>
      </c>
      <c r="E31" s="258">
        <f t="shared" ref="E31:E39" si="5">ROUND((C31*D31),4)</f>
        <v>9.9000000000000008E-3</v>
      </c>
      <c r="F31" s="776"/>
      <c r="G31" s="258">
        <v>1.9099999999999999E-2</v>
      </c>
      <c r="H31" s="299">
        <v>0.42594100000000001</v>
      </c>
      <c r="I31" s="258">
        <f t="shared" ref="I31:I39" si="6">ROUND((G31*H31),4)</f>
        <v>8.0999999999999996E-3</v>
      </c>
      <c r="J31" s="776"/>
      <c r="K31" s="258">
        <v>3.4300000000000004E-2</v>
      </c>
      <c r="L31" s="299">
        <v>1.9295E-2</v>
      </c>
      <c r="M31" s="258">
        <f t="shared" ref="M31:M39" si="7">ROUND((K31*L31),4)</f>
        <v>6.9999999999999999E-4</v>
      </c>
      <c r="N31" s="776"/>
      <c r="O31" s="258">
        <v>3.4300000000000004E-2</v>
      </c>
      <c r="P31" s="298">
        <v>3.1008999999999998E-2</v>
      </c>
      <c r="Q31" s="258">
        <f t="shared" ref="Q31:Q39" si="8">ROUND((O31*P31),4)</f>
        <v>1.1000000000000001E-3</v>
      </c>
      <c r="R31" s="776"/>
      <c r="S31" s="258">
        <f t="shared" ref="S31:S39" si="9">ROUND((((E31+I31)+M31)+Q31),4)</f>
        <v>1.9800000000000002E-2</v>
      </c>
    </row>
    <row r="32" spans="1:19" ht="15">
      <c r="A32" s="775" t="s">
        <v>808</v>
      </c>
      <c r="B32" s="263">
        <v>391</v>
      </c>
      <c r="C32" s="258">
        <v>3.2099999999999997E-2</v>
      </c>
      <c r="D32" s="298">
        <v>0.523756</v>
      </c>
      <c r="E32" s="258">
        <f t="shared" si="5"/>
        <v>1.6799999999999999E-2</v>
      </c>
      <c r="F32" s="776"/>
      <c r="G32" s="258">
        <v>3.1699999999999999E-2</v>
      </c>
      <c r="H32" s="299">
        <v>0.42594100000000001</v>
      </c>
      <c r="I32" s="258">
        <f t="shared" si="6"/>
        <v>1.35E-2</v>
      </c>
      <c r="J32" s="776"/>
      <c r="K32" s="258">
        <v>3.4300000000000004E-2</v>
      </c>
      <c r="L32" s="299">
        <v>1.9295E-2</v>
      </c>
      <c r="M32" s="258">
        <f t="shared" si="7"/>
        <v>6.9999999999999999E-4</v>
      </c>
      <c r="N32" s="776"/>
      <c r="O32" s="258">
        <v>3.4300000000000004E-2</v>
      </c>
      <c r="P32" s="298">
        <v>3.1008999999999998E-2</v>
      </c>
      <c r="Q32" s="258">
        <f t="shared" si="8"/>
        <v>1.1000000000000001E-3</v>
      </c>
      <c r="R32" s="776"/>
      <c r="S32" s="258">
        <f t="shared" si="9"/>
        <v>3.2099999999999997E-2</v>
      </c>
    </row>
    <row r="33" spans="1:19" ht="15">
      <c r="A33" s="775" t="s">
        <v>1032</v>
      </c>
      <c r="B33" s="263">
        <v>392</v>
      </c>
      <c r="C33" s="258">
        <v>3.4599999999999999E-2</v>
      </c>
      <c r="D33" s="265">
        <v>0.523756</v>
      </c>
      <c r="E33" s="258">
        <f t="shared" si="5"/>
        <v>1.8100000000000002E-2</v>
      </c>
      <c r="F33" s="776"/>
      <c r="G33" s="258">
        <v>3.4000000000000002E-2</v>
      </c>
      <c r="H33" s="265">
        <v>0.42594100000000001</v>
      </c>
      <c r="I33" s="258">
        <f t="shared" si="6"/>
        <v>1.4500000000000001E-2</v>
      </c>
      <c r="J33" s="776"/>
      <c r="K33" s="258">
        <v>3.4300000000000004E-2</v>
      </c>
      <c r="L33" s="265">
        <v>1.9295E-2</v>
      </c>
      <c r="M33" s="258">
        <f t="shared" si="7"/>
        <v>6.9999999999999999E-4</v>
      </c>
      <c r="N33" s="776"/>
      <c r="O33" s="258">
        <v>3.4300000000000004E-2</v>
      </c>
      <c r="P33" s="265">
        <v>3.1008999999999998E-2</v>
      </c>
      <c r="Q33" s="258">
        <f t="shared" si="8"/>
        <v>1.1000000000000001E-3</v>
      </c>
      <c r="R33" s="776"/>
      <c r="S33" s="258">
        <f t="shared" si="9"/>
        <v>3.44E-2</v>
      </c>
    </row>
    <row r="34" spans="1:19" ht="15">
      <c r="A34" s="775" t="s">
        <v>809</v>
      </c>
      <c r="B34" s="263">
        <v>393</v>
      </c>
      <c r="C34" s="258">
        <v>1.78E-2</v>
      </c>
      <c r="D34" s="265">
        <v>0.523756</v>
      </c>
      <c r="E34" s="258">
        <f t="shared" si="5"/>
        <v>9.2999999999999992E-3</v>
      </c>
      <c r="F34" s="776"/>
      <c r="G34" s="258">
        <v>1.7999999999999999E-2</v>
      </c>
      <c r="H34" s="265">
        <v>0.42594100000000001</v>
      </c>
      <c r="I34" s="258">
        <f t="shared" si="6"/>
        <v>7.7000000000000002E-3</v>
      </c>
      <c r="J34" s="776"/>
      <c r="K34" s="258">
        <v>3.4300000000000004E-2</v>
      </c>
      <c r="L34" s="265">
        <v>1.9295E-2</v>
      </c>
      <c r="M34" s="258">
        <f t="shared" si="7"/>
        <v>6.9999999999999999E-4</v>
      </c>
      <c r="N34" s="776"/>
      <c r="O34" s="258">
        <v>3.4300000000000004E-2</v>
      </c>
      <c r="P34" s="265">
        <v>3.1008999999999998E-2</v>
      </c>
      <c r="Q34" s="258">
        <f t="shared" si="8"/>
        <v>1.1000000000000001E-3</v>
      </c>
      <c r="R34" s="776"/>
      <c r="S34" s="258">
        <f t="shared" si="9"/>
        <v>1.8800000000000001E-2</v>
      </c>
    </row>
    <row r="35" spans="1:19" ht="15.75" customHeight="1">
      <c r="A35" s="775" t="s">
        <v>810</v>
      </c>
      <c r="B35" s="263">
        <v>394</v>
      </c>
      <c r="C35" s="258">
        <v>2.5899999999999999E-2</v>
      </c>
      <c r="D35" s="265">
        <v>0.523756</v>
      </c>
      <c r="E35" s="258">
        <f t="shared" si="5"/>
        <v>1.3599999999999999E-2</v>
      </c>
      <c r="F35" s="776"/>
      <c r="G35" s="258">
        <v>2.5700000000000001E-2</v>
      </c>
      <c r="H35" s="265">
        <v>0.42594100000000001</v>
      </c>
      <c r="I35" s="258">
        <f t="shared" si="6"/>
        <v>1.09E-2</v>
      </c>
      <c r="J35" s="776"/>
      <c r="K35" s="258">
        <v>3.4300000000000004E-2</v>
      </c>
      <c r="L35" s="265">
        <v>1.9295E-2</v>
      </c>
      <c r="M35" s="258">
        <f t="shared" si="7"/>
        <v>6.9999999999999999E-4</v>
      </c>
      <c r="N35" s="776"/>
      <c r="O35" s="258">
        <v>3.4300000000000004E-2</v>
      </c>
      <c r="P35" s="265">
        <v>3.1008999999999998E-2</v>
      </c>
      <c r="Q35" s="258">
        <f t="shared" si="8"/>
        <v>1.1000000000000001E-3</v>
      </c>
      <c r="R35" s="776"/>
      <c r="S35" s="258">
        <f t="shared" si="9"/>
        <v>2.63E-2</v>
      </c>
    </row>
    <row r="36" spans="1:19" ht="15.75" customHeight="1">
      <c r="A36" s="775" t="s">
        <v>811</v>
      </c>
      <c r="B36" s="263">
        <v>395</v>
      </c>
      <c r="C36" s="258">
        <v>3.8699999999999998E-2</v>
      </c>
      <c r="D36" s="265">
        <v>0.523756</v>
      </c>
      <c r="E36" s="258">
        <f t="shared" si="5"/>
        <v>2.0299999999999999E-2</v>
      </c>
      <c r="F36" s="776"/>
      <c r="G36" s="258">
        <v>4.0099999999999997E-2</v>
      </c>
      <c r="H36" s="265">
        <v>0.42594100000000001</v>
      </c>
      <c r="I36" s="258">
        <f t="shared" si="6"/>
        <v>1.7100000000000001E-2</v>
      </c>
      <c r="J36" s="776"/>
      <c r="K36" s="258">
        <v>3.4300000000000004E-2</v>
      </c>
      <c r="L36" s="265">
        <v>1.9295E-2</v>
      </c>
      <c r="M36" s="258">
        <f t="shared" si="7"/>
        <v>6.9999999999999999E-4</v>
      </c>
      <c r="N36" s="776"/>
      <c r="O36" s="258">
        <v>3.4300000000000004E-2</v>
      </c>
      <c r="P36" s="265">
        <v>3.1008999999999998E-2</v>
      </c>
      <c r="Q36" s="258">
        <f t="shared" si="8"/>
        <v>1.1000000000000001E-3</v>
      </c>
      <c r="R36" s="776"/>
      <c r="S36" s="258">
        <f t="shared" si="9"/>
        <v>3.9199999999999999E-2</v>
      </c>
    </row>
    <row r="37" spans="1:19" ht="15.75" customHeight="1">
      <c r="A37" s="775" t="s">
        <v>1033</v>
      </c>
      <c r="B37" s="263">
        <v>396</v>
      </c>
      <c r="C37" s="258">
        <v>0</v>
      </c>
      <c r="D37" s="265">
        <v>0.523756</v>
      </c>
      <c r="E37" s="258">
        <f t="shared" si="5"/>
        <v>0</v>
      </c>
      <c r="F37" s="776"/>
      <c r="G37" s="258">
        <v>3.9E-2</v>
      </c>
      <c r="H37" s="265">
        <v>0.42594100000000001</v>
      </c>
      <c r="I37" s="258">
        <f t="shared" si="6"/>
        <v>1.66E-2</v>
      </c>
      <c r="J37" s="776"/>
      <c r="K37" s="258">
        <v>3.4300000000000004E-2</v>
      </c>
      <c r="L37" s="265">
        <v>1.9295E-2</v>
      </c>
      <c r="M37" s="258">
        <f t="shared" si="7"/>
        <v>6.9999999999999999E-4</v>
      </c>
      <c r="N37" s="776"/>
      <c r="O37" s="258">
        <v>3.4300000000000004E-2</v>
      </c>
      <c r="P37" s="265">
        <v>3.1008999999999998E-2</v>
      </c>
      <c r="Q37" s="258">
        <f t="shared" si="8"/>
        <v>1.1000000000000001E-3</v>
      </c>
      <c r="R37" s="776"/>
      <c r="S37" s="258">
        <f t="shared" si="9"/>
        <v>1.84E-2</v>
      </c>
    </row>
    <row r="38" spans="1:19" ht="15">
      <c r="A38" s="775" t="s">
        <v>812</v>
      </c>
      <c r="B38" s="263">
        <v>397</v>
      </c>
      <c r="C38" s="258">
        <v>5.0500000000000003E-2</v>
      </c>
      <c r="D38" s="265">
        <v>0.523756</v>
      </c>
      <c r="E38" s="258">
        <f t="shared" si="5"/>
        <v>2.64E-2</v>
      </c>
      <c r="F38" s="776"/>
      <c r="G38" s="258">
        <v>4.9799999999999997E-2</v>
      </c>
      <c r="H38" s="265">
        <v>0.42594100000000001</v>
      </c>
      <c r="I38" s="258">
        <f t="shared" si="6"/>
        <v>2.12E-2</v>
      </c>
      <c r="J38" s="776"/>
      <c r="K38" s="258">
        <v>3.4300000000000004E-2</v>
      </c>
      <c r="L38" s="265">
        <v>1.9295E-2</v>
      </c>
      <c r="M38" s="258">
        <f t="shared" si="7"/>
        <v>6.9999999999999999E-4</v>
      </c>
      <c r="N38" s="776"/>
      <c r="O38" s="258">
        <v>3.4300000000000004E-2</v>
      </c>
      <c r="P38" s="265">
        <v>3.1008999999999998E-2</v>
      </c>
      <c r="Q38" s="258">
        <f t="shared" si="8"/>
        <v>1.1000000000000001E-3</v>
      </c>
      <c r="R38" s="776"/>
      <c r="S38" s="258">
        <f t="shared" si="9"/>
        <v>4.9399999999999999E-2</v>
      </c>
    </row>
    <row r="39" spans="1:19" ht="15">
      <c r="A39" s="775" t="s">
        <v>813</v>
      </c>
      <c r="B39" s="263">
        <v>398</v>
      </c>
      <c r="C39" s="258">
        <v>2.6700000000000002E-2</v>
      </c>
      <c r="D39" s="265">
        <v>0.523756</v>
      </c>
      <c r="E39" s="258">
        <f t="shared" si="5"/>
        <v>1.4E-2</v>
      </c>
      <c r="F39" s="776"/>
      <c r="G39" s="258">
        <v>2.7E-2</v>
      </c>
      <c r="H39" s="265">
        <v>0.42594100000000001</v>
      </c>
      <c r="I39" s="258">
        <f t="shared" si="6"/>
        <v>1.15E-2</v>
      </c>
      <c r="J39" s="776"/>
      <c r="K39" s="297">
        <v>3.4300000000000004E-2</v>
      </c>
      <c r="L39" s="265">
        <v>1.9295E-2</v>
      </c>
      <c r="M39" s="258">
        <f t="shared" si="7"/>
        <v>6.9999999999999999E-4</v>
      </c>
      <c r="N39" s="776"/>
      <c r="O39" s="297">
        <v>3.4300000000000004E-2</v>
      </c>
      <c r="P39" s="265">
        <v>3.1008999999999998E-2</v>
      </c>
      <c r="Q39" s="258">
        <f t="shared" si="8"/>
        <v>1.1000000000000001E-3</v>
      </c>
      <c r="R39" s="776"/>
      <c r="S39" s="258">
        <f t="shared" si="9"/>
        <v>2.7300000000000001E-2</v>
      </c>
    </row>
    <row r="40" spans="1:19" ht="15.75" thickBot="1">
      <c r="A40" s="1307"/>
      <c r="B40" s="1308"/>
      <c r="C40" s="1309"/>
      <c r="D40" s="1310"/>
      <c r="E40" s="1311"/>
      <c r="F40" s="1308"/>
      <c r="G40" s="1311"/>
      <c r="H40" s="1310"/>
      <c r="I40" s="1311"/>
      <c r="J40" s="1308"/>
      <c r="K40" s="1309"/>
      <c r="L40" s="1310"/>
      <c r="M40" s="1311"/>
      <c r="N40" s="1308"/>
      <c r="O40" s="1309"/>
      <c r="P40" s="1310"/>
      <c r="Q40" s="1311"/>
      <c r="R40" s="1308"/>
      <c r="S40" s="1311"/>
    </row>
    <row r="41" spans="1:19" ht="15">
      <c r="A41" s="763"/>
      <c r="B41" s="765"/>
      <c r="C41" s="258"/>
      <c r="D41" s="763"/>
      <c r="E41" s="763"/>
      <c r="F41" s="763"/>
      <c r="G41" s="264"/>
      <c r="H41" s="763"/>
      <c r="I41" s="763"/>
      <c r="J41" s="763"/>
      <c r="K41" s="763"/>
      <c r="L41" s="763"/>
      <c r="M41" s="763"/>
      <c r="N41" s="763"/>
      <c r="O41" s="763"/>
      <c r="P41" s="763"/>
      <c r="Q41" s="763"/>
      <c r="R41" s="763"/>
      <c r="S41" s="763"/>
    </row>
    <row r="42" spans="1:19" ht="15" customHeight="1">
      <c r="A42" s="763" t="s">
        <v>1134</v>
      </c>
      <c r="B42" s="778"/>
      <c r="C42" s="266"/>
      <c r="D42" s="778"/>
      <c r="E42" s="763"/>
      <c r="F42" s="779" t="s">
        <v>123</v>
      </c>
      <c r="G42" s="264" t="s">
        <v>1135</v>
      </c>
      <c r="H42" s="765"/>
      <c r="I42" s="763"/>
      <c r="J42" s="763"/>
      <c r="K42" s="763"/>
      <c r="L42" s="779"/>
      <c r="M42" s="763"/>
      <c r="N42" s="763"/>
      <c r="O42" s="763"/>
      <c r="P42" s="763"/>
      <c r="Q42" s="763"/>
      <c r="R42" s="763"/>
      <c r="S42" s="763"/>
    </row>
    <row r="43" spans="1:19" ht="15.75">
      <c r="A43" s="763" t="s">
        <v>1136</v>
      </c>
      <c r="B43" s="778"/>
      <c r="C43" s="266"/>
      <c r="D43" s="778"/>
      <c r="E43" s="778"/>
      <c r="F43" s="780"/>
      <c r="G43" s="264"/>
      <c r="H43" s="765"/>
      <c r="I43" s="763"/>
      <c r="J43" s="763"/>
      <c r="K43" s="763"/>
      <c r="L43" s="763"/>
      <c r="M43" s="763"/>
      <c r="N43" s="763"/>
      <c r="O43" s="763"/>
      <c r="P43" s="763"/>
      <c r="Q43" s="763"/>
      <c r="R43" s="763"/>
      <c r="S43" s="763"/>
    </row>
    <row r="44" spans="1:19" ht="15" customHeight="1">
      <c r="A44" s="763"/>
      <c r="B44" s="778"/>
      <c r="C44" s="266"/>
      <c r="D44" s="781"/>
      <c r="E44" s="781"/>
      <c r="F44" s="779" t="s">
        <v>606</v>
      </c>
      <c r="G44" s="264" t="s">
        <v>1137</v>
      </c>
      <c r="H44" s="763"/>
      <c r="I44" s="763"/>
      <c r="J44" s="763"/>
      <c r="K44" s="763"/>
      <c r="L44" s="763"/>
      <c r="M44" s="763"/>
      <c r="N44" s="763"/>
      <c r="O44" s="763"/>
      <c r="P44" s="763"/>
      <c r="Q44" s="763"/>
      <c r="R44" s="763"/>
      <c r="S44" s="763"/>
    </row>
    <row r="45" spans="1:19" ht="15.75">
      <c r="A45" s="763" t="s">
        <v>1138</v>
      </c>
      <c r="B45" s="778"/>
      <c r="C45" s="266"/>
      <c r="D45" s="778"/>
      <c r="E45" s="778"/>
      <c r="F45" s="780"/>
      <c r="G45" s="264"/>
      <c r="H45" s="765"/>
      <c r="I45" s="763"/>
      <c r="J45" s="763"/>
      <c r="K45" s="763"/>
      <c r="L45" s="763"/>
      <c r="M45" s="763"/>
      <c r="N45" s="763"/>
      <c r="O45" s="763"/>
      <c r="P45" s="763"/>
      <c r="Q45" s="763"/>
      <c r="R45" s="763"/>
      <c r="S45" s="763"/>
    </row>
    <row r="46" spans="1:19" ht="15.75" customHeight="1">
      <c r="A46" s="763" t="s">
        <v>1139</v>
      </c>
      <c r="B46" s="778"/>
      <c r="C46" s="266"/>
      <c r="D46" s="778"/>
      <c r="E46" s="778"/>
      <c r="F46" s="779" t="s">
        <v>607</v>
      </c>
      <c r="G46" s="1643" t="s">
        <v>608</v>
      </c>
      <c r="H46" s="1643"/>
      <c r="I46" s="1643"/>
      <c r="J46" s="1643"/>
      <c r="K46" s="1643"/>
      <c r="L46" s="1643"/>
      <c r="M46" s="763"/>
      <c r="N46" s="763"/>
      <c r="O46" s="763"/>
      <c r="P46" s="763"/>
      <c r="Q46" s="763"/>
      <c r="R46" s="763"/>
      <c r="S46" s="763"/>
    </row>
    <row r="47" spans="1:19" ht="15.75" customHeight="1">
      <c r="A47" s="763"/>
      <c r="B47" s="778"/>
      <c r="C47" s="266"/>
      <c r="D47" s="778"/>
      <c r="E47" s="778"/>
      <c r="F47" s="779"/>
      <c r="G47" s="1643" t="s">
        <v>609</v>
      </c>
      <c r="H47" s="1643"/>
      <c r="I47" s="1643"/>
      <c r="J47" s="1643"/>
      <c r="K47" s="1643"/>
      <c r="L47" s="1643"/>
      <c r="M47" s="763"/>
      <c r="N47" s="763"/>
      <c r="O47" s="763"/>
      <c r="P47" s="763"/>
      <c r="Q47" s="763"/>
      <c r="R47" s="763"/>
      <c r="S47" s="763"/>
    </row>
    <row r="48" spans="1:19" ht="15.75" customHeight="1">
      <c r="A48" s="763"/>
      <c r="B48" s="778"/>
      <c r="C48" s="266"/>
      <c r="D48" s="778"/>
      <c r="E48" s="778"/>
      <c r="F48" s="779"/>
      <c r="G48" s="1643" t="s">
        <v>610</v>
      </c>
      <c r="H48" s="1643"/>
      <c r="I48" s="1643"/>
      <c r="J48" s="1643"/>
      <c r="K48" s="1643"/>
      <c r="L48" s="1643"/>
      <c r="M48" s="763"/>
      <c r="N48" s="763"/>
      <c r="O48" s="763"/>
      <c r="P48" s="763"/>
      <c r="Q48" s="763"/>
      <c r="R48" s="763"/>
      <c r="S48" s="763"/>
    </row>
    <row r="49" spans="1:19" ht="15.75">
      <c r="A49" s="782"/>
      <c r="B49" s="765"/>
      <c r="C49" s="258"/>
      <c r="D49" s="763"/>
      <c r="E49" s="763"/>
      <c r="F49" s="763"/>
      <c r="G49" s="1643" t="s">
        <v>114</v>
      </c>
      <c r="H49" s="1643"/>
      <c r="I49" s="1643"/>
      <c r="J49" s="1643"/>
      <c r="K49" s="1643"/>
      <c r="L49" s="1643"/>
      <c r="M49" s="763"/>
      <c r="N49" s="763"/>
      <c r="O49" s="763"/>
      <c r="P49" s="763"/>
      <c r="Q49" s="763"/>
      <c r="R49" s="763"/>
      <c r="S49" s="763"/>
    </row>
    <row r="50" spans="1:19" ht="15.75">
      <c r="A50" s="782"/>
      <c r="B50" s="765"/>
      <c r="C50" s="258"/>
      <c r="D50" s="763"/>
      <c r="E50" s="763"/>
      <c r="F50" s="779" t="s">
        <v>611</v>
      </c>
      <c r="G50" s="1643" t="s">
        <v>1140</v>
      </c>
      <c r="H50" s="1643"/>
      <c r="I50" s="1643"/>
      <c r="J50" s="1643"/>
      <c r="K50" s="1643"/>
      <c r="L50" s="1643"/>
      <c r="M50" s="763"/>
      <c r="N50" s="763"/>
      <c r="O50" s="763"/>
      <c r="P50" s="763"/>
      <c r="Q50" s="763"/>
      <c r="R50" s="763"/>
      <c r="S50" s="763"/>
    </row>
    <row r="51" spans="1:19" ht="15.75">
      <c r="A51" s="782" t="s">
        <v>413</v>
      </c>
      <c r="B51" s="765"/>
      <c r="C51" s="258"/>
      <c r="D51" s="763"/>
      <c r="E51" s="763"/>
      <c r="F51" s="763"/>
      <c r="G51" s="763" t="s">
        <v>1141</v>
      </c>
      <c r="H51" s="763"/>
      <c r="I51" s="763"/>
      <c r="J51" s="763"/>
      <c r="K51" s="763"/>
      <c r="L51" s="763"/>
      <c r="M51" s="763"/>
      <c r="N51" s="763"/>
      <c r="O51" s="783"/>
      <c r="P51" s="763"/>
      <c r="Q51" s="763"/>
      <c r="R51" s="763"/>
      <c r="S51" s="763"/>
    </row>
    <row r="52" spans="1:19" ht="15">
      <c r="A52" s="784" t="s">
        <v>29</v>
      </c>
      <c r="B52" s="785"/>
      <c r="C52" s="785"/>
      <c r="D52" s="786"/>
      <c r="E52" s="763"/>
      <c r="F52" s="763"/>
      <c r="G52" s="264"/>
      <c r="H52" s="763"/>
      <c r="I52" s="763"/>
      <c r="J52" s="763"/>
      <c r="K52" s="763"/>
      <c r="L52" s="763"/>
      <c r="M52" s="763"/>
      <c r="N52" s="763"/>
      <c r="O52" s="783"/>
      <c r="P52" s="763"/>
      <c r="Q52" s="763"/>
      <c r="R52" s="763"/>
      <c r="S52" s="763"/>
    </row>
    <row r="53" spans="1:19" ht="15">
      <c r="A53" s="1644" t="s">
        <v>612</v>
      </c>
      <c r="B53" s="1645"/>
      <c r="C53" s="1645"/>
      <c r="D53" s="1645"/>
      <c r="E53" s="1645"/>
      <c r="F53" s="1645"/>
      <c r="G53" s="1645"/>
      <c r="H53" s="1645"/>
      <c r="I53" s="1645"/>
      <c r="J53" s="1645"/>
      <c r="K53" s="1645"/>
      <c r="L53" s="1645"/>
      <c r="M53" s="1645"/>
      <c r="N53" s="1645"/>
      <c r="O53" s="763"/>
      <c r="P53" s="763"/>
      <c r="Q53" s="763"/>
      <c r="R53" s="763"/>
      <c r="S53" s="763"/>
    </row>
    <row r="54" spans="1:19" ht="15">
      <c r="A54" s="1645"/>
      <c r="B54" s="1645"/>
      <c r="C54" s="1645"/>
      <c r="D54" s="1645"/>
      <c r="E54" s="1645"/>
      <c r="F54" s="1645"/>
      <c r="G54" s="1645"/>
      <c r="H54" s="1645"/>
      <c r="I54" s="1645"/>
      <c r="J54" s="1645"/>
      <c r="K54" s="1645"/>
      <c r="L54" s="1645"/>
      <c r="M54" s="1645"/>
      <c r="N54" s="1645"/>
      <c r="O54" s="763"/>
      <c r="P54" s="763"/>
      <c r="Q54" s="763"/>
      <c r="R54" s="763"/>
      <c r="S54" s="763"/>
    </row>
    <row r="55" spans="1:19" ht="15">
      <c r="A55" s="1541" t="s">
        <v>822</v>
      </c>
      <c r="B55" s="1541"/>
      <c r="C55" s="1541"/>
      <c r="D55" s="1541"/>
      <c r="E55" s="1541"/>
      <c r="F55" s="1541"/>
      <c r="G55" s="1541"/>
      <c r="H55" s="1541"/>
      <c r="I55" s="1541"/>
      <c r="J55" s="1541"/>
      <c r="K55" s="1541"/>
      <c r="L55" s="1541"/>
      <c r="M55" s="1541"/>
      <c r="N55" s="1541"/>
      <c r="O55" s="763"/>
      <c r="P55" s="763"/>
      <c r="Q55" s="763"/>
      <c r="R55" s="763"/>
      <c r="S55" s="763"/>
    </row>
    <row r="56" spans="1:19" ht="15">
      <c r="A56" s="1541"/>
      <c r="B56" s="1541"/>
      <c r="C56" s="1541"/>
      <c r="D56" s="1541"/>
      <c r="E56" s="1541"/>
      <c r="F56" s="1541"/>
      <c r="G56" s="1541"/>
      <c r="H56" s="1541"/>
      <c r="I56" s="1541"/>
      <c r="J56" s="1541"/>
      <c r="K56" s="1541"/>
      <c r="L56" s="1541"/>
      <c r="M56" s="1541"/>
      <c r="N56" s="1541"/>
      <c r="O56" s="763"/>
      <c r="P56" s="763"/>
      <c r="Q56" s="763"/>
      <c r="R56" s="763"/>
      <c r="S56" s="763"/>
    </row>
  </sheetData>
  <mergeCells count="19">
    <mergeCell ref="A8:O8"/>
    <mergeCell ref="A3:O3"/>
    <mergeCell ref="A6:O6"/>
    <mergeCell ref="A7:O7"/>
    <mergeCell ref="A4:O4"/>
    <mergeCell ref="A5:O5"/>
    <mergeCell ref="A9:O9"/>
    <mergeCell ref="A10:O10"/>
    <mergeCell ref="C12:E12"/>
    <mergeCell ref="G12:I12"/>
    <mergeCell ref="K12:M12"/>
    <mergeCell ref="O12:Q12"/>
    <mergeCell ref="A55:N56"/>
    <mergeCell ref="G46:L46"/>
    <mergeCell ref="G47:L47"/>
    <mergeCell ref="G48:L48"/>
    <mergeCell ref="G49:L49"/>
    <mergeCell ref="A53:N54"/>
    <mergeCell ref="G50:L50"/>
  </mergeCells>
  <phoneticPr fontId="7" type="noConversion"/>
  <conditionalFormatting sqref="P10:S10 A3 A4:S9 A10 A12:S18 O52:S56">
    <cfRule type="cellIs" dxfId="23" priority="40" stopIfTrue="1" operator="lessThan">
      <formula>0</formula>
    </cfRule>
  </conditionalFormatting>
  <conditionalFormatting sqref="A52:N52">
    <cfRule type="cellIs" dxfId="22" priority="39" stopIfTrue="1" operator="lessThan">
      <formula>0</formula>
    </cfRule>
  </conditionalFormatting>
  <conditionalFormatting sqref="A53">
    <cfRule type="cellIs" dxfId="21" priority="38" stopIfTrue="1" operator="lessThan">
      <formula>0</formula>
    </cfRule>
  </conditionalFormatting>
  <conditionalFormatting sqref="O40:S51 A40:N45 A31:B39 A19:S20 A29:S30 A21:R28">
    <cfRule type="cellIs" dxfId="20" priority="20" stopIfTrue="1" operator="lessThan">
      <formula>0</formula>
    </cfRule>
  </conditionalFormatting>
  <conditionalFormatting sqref="A51:E51 L51:N51 F50">
    <cfRule type="cellIs" dxfId="19" priority="19" stopIfTrue="1" operator="lessThan">
      <formula>0</formula>
    </cfRule>
  </conditionalFormatting>
  <conditionalFormatting sqref="A46:G46 A47:F49 M46:N50 A50:E50">
    <cfRule type="cellIs" dxfId="18" priority="18" stopIfTrue="1" operator="lessThan">
      <formula>0</formula>
    </cfRule>
  </conditionalFormatting>
  <conditionalFormatting sqref="G46">
    <cfRule type="colorScale" priority="17">
      <colorScale>
        <cfvo type="min"/>
        <cfvo type="percentile" val="50"/>
        <cfvo type="max"/>
        <color rgb="FF5A8AC6"/>
        <color rgb="FFFCFCFF"/>
        <color rgb="FFF8696B"/>
      </colorScale>
    </cfRule>
  </conditionalFormatting>
  <conditionalFormatting sqref="G47">
    <cfRule type="cellIs" dxfId="17" priority="16" stopIfTrue="1" operator="lessThan">
      <formula>0</formula>
    </cfRule>
  </conditionalFormatting>
  <conditionalFormatting sqref="G47">
    <cfRule type="colorScale" priority="15">
      <colorScale>
        <cfvo type="min"/>
        <cfvo type="percentile" val="50"/>
        <cfvo type="max"/>
        <color rgb="FF5A8AC6"/>
        <color rgb="FFFCFCFF"/>
        <color rgb="FFF8696B"/>
      </colorScale>
    </cfRule>
  </conditionalFormatting>
  <conditionalFormatting sqref="G48">
    <cfRule type="cellIs" dxfId="16" priority="14" stopIfTrue="1" operator="lessThan">
      <formula>0</formula>
    </cfRule>
  </conditionalFormatting>
  <conditionalFormatting sqref="G48">
    <cfRule type="colorScale" priority="13">
      <colorScale>
        <cfvo type="min"/>
        <cfvo type="percentile" val="50"/>
        <cfvo type="max"/>
        <color rgb="FF5A8AC6"/>
        <color rgb="FFFCFCFF"/>
        <color rgb="FFF8696B"/>
      </colorScale>
    </cfRule>
  </conditionalFormatting>
  <conditionalFormatting sqref="G49">
    <cfRule type="cellIs" dxfId="15" priority="12" stopIfTrue="1" operator="lessThan">
      <formula>0</formula>
    </cfRule>
  </conditionalFormatting>
  <conditionalFormatting sqref="G49">
    <cfRule type="colorScale" priority="11">
      <colorScale>
        <cfvo type="min"/>
        <cfvo type="percentile" val="50"/>
        <cfvo type="max"/>
        <color rgb="FF5A8AC6"/>
        <color rgb="FFFCFCFF"/>
        <color rgb="FFF8696B"/>
      </colorScale>
    </cfRule>
  </conditionalFormatting>
  <conditionalFormatting sqref="C31:D39 F31:H39 J31:L39 N31:P39 R31:R39">
    <cfRule type="cellIs" dxfId="14" priority="10" stopIfTrue="1" operator="lessThan">
      <formula>0</formula>
    </cfRule>
  </conditionalFormatting>
  <conditionalFormatting sqref="E31:E39">
    <cfRule type="cellIs" dxfId="13" priority="9" stopIfTrue="1" operator="lessThan">
      <formula>0</formula>
    </cfRule>
  </conditionalFormatting>
  <conditionalFormatting sqref="I31:I39">
    <cfRule type="cellIs" dxfId="12" priority="8" stopIfTrue="1" operator="lessThan">
      <formula>0</formula>
    </cfRule>
  </conditionalFormatting>
  <conditionalFormatting sqref="M31:M39">
    <cfRule type="cellIs" dxfId="11" priority="7" stopIfTrue="1" operator="lessThan">
      <formula>0</formula>
    </cfRule>
  </conditionalFormatting>
  <conditionalFormatting sqref="Q31:Q39">
    <cfRule type="cellIs" dxfId="10" priority="6" stopIfTrue="1" operator="lessThan">
      <formula>0</formula>
    </cfRule>
  </conditionalFormatting>
  <conditionalFormatting sqref="S21">
    <cfRule type="cellIs" dxfId="9" priority="5" stopIfTrue="1" operator="lessThan">
      <formula>0</formula>
    </cfRule>
  </conditionalFormatting>
  <conditionalFormatting sqref="S22:S28">
    <cfRule type="cellIs" dxfId="8" priority="4" stopIfTrue="1" operator="lessThan">
      <formula>0</formula>
    </cfRule>
  </conditionalFormatting>
  <conditionalFormatting sqref="S31:S39">
    <cfRule type="cellIs" dxfId="7" priority="3" stopIfTrue="1" operator="lessThan">
      <formula>0</formula>
    </cfRule>
  </conditionalFormatting>
  <conditionalFormatting sqref="G50">
    <cfRule type="cellIs" dxfId="6" priority="2" stopIfTrue="1" operator="lessThan">
      <formula>0</formula>
    </cfRule>
  </conditionalFormatting>
  <conditionalFormatting sqref="G50">
    <cfRule type="colorScale" priority="1">
      <colorScale>
        <cfvo type="min"/>
        <cfvo type="percentile" val="50"/>
        <cfvo type="max"/>
        <color rgb="FF5A8AC6"/>
        <color rgb="FFFCFCFF"/>
        <color rgb="FFF8696B"/>
      </colorScale>
    </cfRule>
  </conditionalFormatting>
  <printOptions horizontalCentered="1"/>
  <pageMargins left="0.55000000000000004" right="0.55000000000000004" top="1.25" bottom="0.75" header="0.75" footer="0.27"/>
  <pageSetup scale="46" orientation="landscape" r:id="rId1"/>
  <headerFooter alignWithMargins="0">
    <oddHeader>&amp;RFormula Rate 
&amp;A
Page &amp;P of &amp;N</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K59"/>
  <sheetViews>
    <sheetView view="pageBreakPreview" zoomScale="60" zoomScaleNormal="70" workbookViewId="0">
      <selection activeCell="A44" sqref="A44:A46"/>
    </sheetView>
  </sheetViews>
  <sheetFormatPr defaultColWidth="9.140625" defaultRowHeight="12.75"/>
  <cols>
    <col min="1" max="1" width="34.28515625" style="1399" customWidth="1"/>
    <col min="2" max="2" width="9.140625" style="1399"/>
    <col min="3" max="3" width="11.85546875" style="1399" customWidth="1"/>
    <col min="4" max="4" width="18.28515625" style="1399" customWidth="1"/>
    <col min="5" max="5" width="12.5703125" style="1399" customWidth="1"/>
    <col min="6" max="6" width="9.140625" style="1399"/>
    <col min="7" max="7" width="12.140625" style="1399" customWidth="1"/>
    <col min="8" max="8" width="18.85546875" style="1399" customWidth="1"/>
    <col min="9" max="9" width="15.5703125" style="1399" bestFit="1" customWidth="1"/>
    <col min="10" max="16384" width="9.140625" style="1399"/>
  </cols>
  <sheetData>
    <row r="1" spans="1:11" s="763" customFormat="1" ht="15.75">
      <c r="A1" s="881" t="s">
        <v>114</v>
      </c>
      <c r="G1" s="264"/>
    </row>
    <row r="2" spans="1:11" s="763" customFormat="1" ht="15.75">
      <c r="A2" s="881" t="s">
        <v>114</v>
      </c>
      <c r="G2" s="264"/>
    </row>
    <row r="3" spans="1:11" ht="19.5">
      <c r="A3" s="1650" t="s">
        <v>391</v>
      </c>
      <c r="B3" s="1650"/>
      <c r="C3" s="1650"/>
      <c r="D3" s="1650"/>
      <c r="E3" s="1650"/>
      <c r="F3" s="1650"/>
      <c r="G3" s="1650"/>
      <c r="H3" s="1650"/>
      <c r="I3" s="1650"/>
      <c r="J3" s="1650"/>
      <c r="K3" s="1650"/>
    </row>
    <row r="4" spans="1:11" ht="19.5">
      <c r="A4" s="1650" t="s">
        <v>392</v>
      </c>
      <c r="B4" s="1650"/>
      <c r="C4" s="1650"/>
      <c r="D4" s="1650"/>
      <c r="E4" s="1650"/>
      <c r="F4" s="1650"/>
      <c r="G4" s="1650"/>
      <c r="H4" s="1650"/>
      <c r="I4" s="1650"/>
      <c r="J4" s="1650"/>
      <c r="K4" s="1650"/>
    </row>
    <row r="5" spans="1:11" ht="19.5">
      <c r="A5" s="1650" t="s">
        <v>393</v>
      </c>
      <c r="B5" s="1650"/>
      <c r="C5" s="1650"/>
      <c r="D5" s="1650"/>
      <c r="E5" s="1650"/>
      <c r="F5" s="1650"/>
      <c r="G5" s="1650"/>
      <c r="H5" s="1650"/>
      <c r="I5" s="1650"/>
      <c r="J5" s="1650"/>
      <c r="K5" s="1650"/>
    </row>
    <row r="6" spans="1:11" ht="19.5">
      <c r="A6" s="1650" t="s">
        <v>394</v>
      </c>
      <c r="B6" s="1650"/>
      <c r="C6" s="1650"/>
      <c r="D6" s="1650"/>
      <c r="E6" s="1650"/>
      <c r="F6" s="1650"/>
      <c r="G6" s="1650"/>
      <c r="H6" s="1650"/>
      <c r="I6" s="1650"/>
      <c r="J6" s="1650"/>
      <c r="K6" s="1650"/>
    </row>
    <row r="7" spans="1:11" ht="19.5">
      <c r="A7" s="1650" t="s">
        <v>1150</v>
      </c>
      <c r="B7" s="1650"/>
      <c r="C7" s="1650"/>
      <c r="D7" s="1650"/>
      <c r="E7" s="1650"/>
      <c r="F7" s="1650"/>
      <c r="G7" s="1650"/>
      <c r="H7" s="1650"/>
      <c r="I7" s="1650"/>
      <c r="J7" s="1650"/>
      <c r="K7" s="1650"/>
    </row>
    <row r="8" spans="1:11" ht="19.5">
      <c r="A8" s="1650" t="s">
        <v>395</v>
      </c>
      <c r="B8" s="1650"/>
      <c r="C8" s="1650"/>
      <c r="D8" s="1650"/>
      <c r="E8" s="1650"/>
      <c r="F8" s="1650"/>
      <c r="G8" s="1650"/>
      <c r="H8" s="1650"/>
      <c r="I8" s="1650"/>
      <c r="J8" s="1650"/>
      <c r="K8" s="1650"/>
    </row>
    <row r="9" spans="1:11" ht="19.5">
      <c r="A9" s="1650" t="s">
        <v>765</v>
      </c>
      <c r="B9" s="1650"/>
      <c r="C9" s="1650"/>
      <c r="D9" s="1650"/>
      <c r="E9" s="1650"/>
      <c r="F9" s="1650"/>
      <c r="G9" s="1650"/>
      <c r="H9" s="1650"/>
      <c r="I9" s="1650"/>
      <c r="J9" s="1650"/>
      <c r="K9" s="1650"/>
    </row>
    <row r="10" spans="1:11" ht="19.5">
      <c r="A10" s="1652"/>
      <c r="B10" s="1652"/>
      <c r="C10" s="1652"/>
      <c r="D10" s="1652"/>
      <c r="E10" s="1652"/>
      <c r="F10" s="1652"/>
      <c r="G10" s="1652"/>
      <c r="H10" s="1652"/>
      <c r="I10" s="1652"/>
      <c r="J10" s="1652"/>
      <c r="K10" s="1652"/>
    </row>
    <row r="11" spans="1:11" ht="16.5" thickBot="1">
      <c r="A11" s="1133"/>
      <c r="B11" s="1133"/>
      <c r="C11" s="1653" t="s">
        <v>766</v>
      </c>
      <c r="D11" s="1653"/>
      <c r="E11" s="1653"/>
      <c r="F11" s="1133"/>
      <c r="G11" s="1653" t="s">
        <v>1143</v>
      </c>
      <c r="H11" s="1653"/>
      <c r="I11" s="1653"/>
      <c r="J11" s="1133"/>
      <c r="K11" s="1395" t="s">
        <v>397</v>
      </c>
    </row>
    <row r="12" spans="1:11" ht="15.75">
      <c r="A12" s="1134"/>
      <c r="B12" s="1133"/>
      <c r="C12" s="1135" t="s">
        <v>121</v>
      </c>
      <c r="D12" s="1136"/>
      <c r="E12" s="1136"/>
      <c r="F12" s="1136"/>
      <c r="G12" s="1137" t="s">
        <v>122</v>
      </c>
      <c r="H12" s="1138"/>
      <c r="I12" s="1138"/>
      <c r="J12" s="1138"/>
      <c r="K12" s="1138"/>
    </row>
    <row r="13" spans="1:11" ht="15">
      <c r="A13" s="1133"/>
      <c r="B13" s="1133"/>
      <c r="C13" s="1135" t="s">
        <v>114</v>
      </c>
      <c r="D13" s="1136"/>
      <c r="E13" s="1135" t="s">
        <v>398</v>
      </c>
      <c r="F13" s="1136"/>
      <c r="G13" s="1137" t="s">
        <v>767</v>
      </c>
      <c r="H13" s="1136"/>
      <c r="I13" s="1135" t="s">
        <v>398</v>
      </c>
      <c r="J13" s="1136"/>
      <c r="K13" s="1135" t="s">
        <v>398</v>
      </c>
    </row>
    <row r="14" spans="1:11" ht="15">
      <c r="A14" s="1133"/>
      <c r="B14" s="1135" t="s">
        <v>399</v>
      </c>
      <c r="C14" s="1135" t="s">
        <v>768</v>
      </c>
      <c r="D14" s="1135" t="s">
        <v>400</v>
      </c>
      <c r="E14" s="1135" t="s">
        <v>401</v>
      </c>
      <c r="F14" s="1136"/>
      <c r="G14" s="1137" t="s">
        <v>402</v>
      </c>
      <c r="H14" s="1135" t="s">
        <v>400</v>
      </c>
      <c r="I14" s="1135" t="s">
        <v>401</v>
      </c>
      <c r="J14" s="1136"/>
      <c r="K14" s="1135" t="s">
        <v>401</v>
      </c>
    </row>
    <row r="15" spans="1:11" ht="15">
      <c r="A15" s="1135"/>
      <c r="B15" s="1135" t="s">
        <v>403</v>
      </c>
      <c r="C15" s="1135" t="s">
        <v>404</v>
      </c>
      <c r="D15" s="1135" t="s">
        <v>769</v>
      </c>
      <c r="E15" s="1135" t="s">
        <v>405</v>
      </c>
      <c r="F15" s="1136"/>
      <c r="G15" s="1137" t="s">
        <v>404</v>
      </c>
      <c r="H15" s="1135" t="s">
        <v>769</v>
      </c>
      <c r="I15" s="1135" t="s">
        <v>405</v>
      </c>
      <c r="J15" s="1136"/>
      <c r="K15" s="1135" t="s">
        <v>405</v>
      </c>
    </row>
    <row r="16" spans="1:11" ht="15">
      <c r="A16" s="1139"/>
      <c r="B16" s="1139"/>
      <c r="C16" s="1139"/>
      <c r="D16" s="1139"/>
      <c r="E16" s="1139"/>
      <c r="F16" s="1139"/>
      <c r="G16" s="1140"/>
      <c r="H16" s="1139"/>
      <c r="I16" s="1139"/>
      <c r="J16" s="1139"/>
      <c r="K16" s="1139"/>
    </row>
    <row r="17" spans="1:11" ht="15.75" thickBot="1">
      <c r="A17" s="1141"/>
      <c r="B17" s="1133"/>
      <c r="C17" s="258"/>
      <c r="D17" s="1133"/>
      <c r="E17" s="1133"/>
      <c r="F17" s="1133"/>
      <c r="G17" s="1142"/>
      <c r="H17" s="1133"/>
      <c r="I17" s="1133"/>
      <c r="J17" s="1133"/>
      <c r="K17" s="1133"/>
    </row>
    <row r="18" spans="1:11" ht="15">
      <c r="A18" s="1143" t="s">
        <v>406</v>
      </c>
      <c r="B18" s="1144"/>
      <c r="C18" s="259"/>
      <c r="D18" s="260"/>
      <c r="E18" s="261"/>
      <c r="F18" s="1144"/>
      <c r="G18" s="261"/>
      <c r="H18" s="262"/>
      <c r="I18" s="261"/>
      <c r="J18" s="1144"/>
      <c r="K18" s="261"/>
    </row>
    <row r="19" spans="1:11" ht="15">
      <c r="A19" s="1139" t="s">
        <v>770</v>
      </c>
      <c r="B19" s="263">
        <v>350.1</v>
      </c>
      <c r="C19" s="264">
        <v>1.66E-2</v>
      </c>
      <c r="D19" s="265">
        <v>0.66233529999999996</v>
      </c>
      <c r="E19" s="264">
        <f t="shared" ref="E19:E27" si="0">ROUND((C19*D19),6)</f>
        <v>1.0995E-2</v>
      </c>
      <c r="F19" s="1145"/>
      <c r="G19" s="264">
        <v>1.6199999999999999E-2</v>
      </c>
      <c r="H19" s="265">
        <v>0.33766470000000004</v>
      </c>
      <c r="I19" s="264">
        <f t="shared" ref="I19:I27" si="1">ROUND((G19*H19),6)</f>
        <v>5.47E-3</v>
      </c>
      <c r="J19" s="1145"/>
      <c r="K19" s="258">
        <f>ROUND(E19+I19,4)</f>
        <v>1.6500000000000001E-2</v>
      </c>
    </row>
    <row r="20" spans="1:11" ht="15">
      <c r="A20" s="1146" t="s">
        <v>407</v>
      </c>
      <c r="B20" s="263">
        <v>352</v>
      </c>
      <c r="C20" s="264">
        <v>1.77E-2</v>
      </c>
      <c r="D20" s="265">
        <v>0.66233529999999996</v>
      </c>
      <c r="E20" s="264">
        <f t="shared" si="0"/>
        <v>1.1723000000000001E-2</v>
      </c>
      <c r="F20" s="1145"/>
      <c r="G20" s="264">
        <v>1.7399999999999999E-2</v>
      </c>
      <c r="H20" s="265">
        <v>0.33766470000000004</v>
      </c>
      <c r="I20" s="264">
        <f t="shared" si="1"/>
        <v>5.875E-3</v>
      </c>
      <c r="J20" s="1145"/>
      <c r="K20" s="258">
        <f t="shared" ref="K20:K27" si="2">ROUND(E20+I20,4)</f>
        <v>1.7600000000000001E-2</v>
      </c>
    </row>
    <row r="21" spans="1:11" ht="15">
      <c r="A21" s="1146" t="s">
        <v>408</v>
      </c>
      <c r="B21" s="263">
        <v>353</v>
      </c>
      <c r="C21" s="264">
        <v>2.4299999999999999E-2</v>
      </c>
      <c r="D21" s="265">
        <v>0.66233529999999996</v>
      </c>
      <c r="E21" s="264">
        <f t="shared" si="0"/>
        <v>1.6095000000000002E-2</v>
      </c>
      <c r="F21" s="1145"/>
      <c r="G21" s="264">
        <v>2.41E-2</v>
      </c>
      <c r="H21" s="265">
        <v>0.33766470000000004</v>
      </c>
      <c r="I21" s="264">
        <f t="shared" si="1"/>
        <v>8.1379999999999994E-3</v>
      </c>
      <c r="J21" s="1145"/>
      <c r="K21" s="258">
        <f t="shared" si="2"/>
        <v>2.4199999999999999E-2</v>
      </c>
    </row>
    <row r="22" spans="1:11" ht="15">
      <c r="A22" s="1146" t="s">
        <v>409</v>
      </c>
      <c r="B22" s="263">
        <v>354</v>
      </c>
      <c r="C22" s="264">
        <v>2.5700000000000001E-2</v>
      </c>
      <c r="D22" s="265">
        <v>0.66233529999999996</v>
      </c>
      <c r="E22" s="264">
        <f t="shared" si="0"/>
        <v>1.7021999999999999E-2</v>
      </c>
      <c r="F22" s="1145"/>
      <c r="G22" s="264">
        <v>2.4500000000000001E-2</v>
      </c>
      <c r="H22" s="265">
        <v>0.33766470000000004</v>
      </c>
      <c r="I22" s="264">
        <f t="shared" si="1"/>
        <v>8.2730000000000008E-3</v>
      </c>
      <c r="J22" s="1145"/>
      <c r="K22" s="258">
        <f t="shared" si="2"/>
        <v>2.53E-2</v>
      </c>
    </row>
    <row r="23" spans="1:11" ht="15">
      <c r="A23" s="1146" t="s">
        <v>410</v>
      </c>
      <c r="B23" s="263">
        <v>355</v>
      </c>
      <c r="C23" s="264">
        <v>3.1899999999999998E-2</v>
      </c>
      <c r="D23" s="265">
        <v>0.66233529999999996</v>
      </c>
      <c r="E23" s="264">
        <f t="shared" si="0"/>
        <v>2.1128000000000001E-2</v>
      </c>
      <c r="F23" s="1145"/>
      <c r="G23" s="264">
        <v>3.1699999999999999E-2</v>
      </c>
      <c r="H23" s="265">
        <v>0.33766470000000004</v>
      </c>
      <c r="I23" s="264">
        <f t="shared" si="1"/>
        <v>1.0704E-2</v>
      </c>
      <c r="J23" s="1145"/>
      <c r="K23" s="258">
        <f t="shared" si="2"/>
        <v>3.1800000000000002E-2</v>
      </c>
    </row>
    <row r="24" spans="1:11" ht="15">
      <c r="A24" s="1146" t="s">
        <v>771</v>
      </c>
      <c r="B24" s="263">
        <v>356</v>
      </c>
      <c r="C24" s="264">
        <v>2.35E-2</v>
      </c>
      <c r="D24" s="265">
        <v>0.66233529999999996</v>
      </c>
      <c r="E24" s="264">
        <f t="shared" si="0"/>
        <v>1.5565000000000001E-2</v>
      </c>
      <c r="F24" s="1145"/>
      <c r="G24" s="264">
        <v>2.2800000000000001E-2</v>
      </c>
      <c r="H24" s="265">
        <v>0.33766470000000004</v>
      </c>
      <c r="I24" s="264">
        <f t="shared" si="1"/>
        <v>7.6990000000000001E-3</v>
      </c>
      <c r="J24" s="1145"/>
      <c r="K24" s="258">
        <f t="shared" si="2"/>
        <v>2.3300000000000001E-2</v>
      </c>
    </row>
    <row r="25" spans="1:11" ht="15">
      <c r="A25" s="1146" t="s">
        <v>411</v>
      </c>
      <c r="B25" s="263">
        <v>357</v>
      </c>
      <c r="C25" s="264">
        <v>2.3E-2</v>
      </c>
      <c r="D25" s="265">
        <v>0.66233529999999996</v>
      </c>
      <c r="E25" s="264">
        <f t="shared" si="0"/>
        <v>1.5233999999999999E-2</v>
      </c>
      <c r="F25" s="1145"/>
      <c r="G25" s="264">
        <v>2.2100000000000002E-2</v>
      </c>
      <c r="H25" s="265">
        <v>0.33766470000000004</v>
      </c>
      <c r="I25" s="264">
        <f t="shared" si="1"/>
        <v>7.4619999999999999E-3</v>
      </c>
      <c r="J25" s="1145"/>
      <c r="K25" s="258">
        <f t="shared" si="2"/>
        <v>2.2700000000000001E-2</v>
      </c>
    </row>
    <row r="26" spans="1:11" ht="15">
      <c r="A26" s="1146" t="s">
        <v>412</v>
      </c>
      <c r="B26" s="263">
        <v>358</v>
      </c>
      <c r="C26" s="264">
        <v>1.9300000000000001E-2</v>
      </c>
      <c r="D26" s="265">
        <v>0.66233529999999996</v>
      </c>
      <c r="E26" s="264">
        <f t="shared" si="0"/>
        <v>1.2782999999999999E-2</v>
      </c>
      <c r="F26" s="1145"/>
      <c r="G26" s="264">
        <v>1.9E-2</v>
      </c>
      <c r="H26" s="265">
        <v>0.33766470000000004</v>
      </c>
      <c r="I26" s="264">
        <f t="shared" si="1"/>
        <v>6.4159999999999998E-3</v>
      </c>
      <c r="J26" s="1145"/>
      <c r="K26" s="258">
        <f t="shared" si="2"/>
        <v>1.9199999999999998E-2</v>
      </c>
    </row>
    <row r="27" spans="1:11" ht="15">
      <c r="A27" s="1146" t="s">
        <v>772</v>
      </c>
      <c r="B27" s="263">
        <v>359</v>
      </c>
      <c r="C27" s="264">
        <v>1.61E-2</v>
      </c>
      <c r="D27" s="265">
        <v>0.66233529999999996</v>
      </c>
      <c r="E27" s="264">
        <f t="shared" si="0"/>
        <v>1.0664E-2</v>
      </c>
      <c r="F27" s="1145"/>
      <c r="G27" s="264">
        <v>1.5900000000000001E-2</v>
      </c>
      <c r="H27" s="265">
        <v>0.33766470000000004</v>
      </c>
      <c r="I27" s="264">
        <f t="shared" si="1"/>
        <v>5.3689999999999996E-3</v>
      </c>
      <c r="J27" s="1145"/>
      <c r="K27" s="258">
        <f t="shared" si="2"/>
        <v>1.6E-2</v>
      </c>
    </row>
    <row r="28" spans="1:11" ht="15">
      <c r="A28" s="1139"/>
      <c r="B28" s="1139"/>
      <c r="C28" s="1139"/>
      <c r="D28" s="1139"/>
      <c r="E28" s="1139"/>
      <c r="F28" s="1139"/>
      <c r="G28" s="1139"/>
      <c r="H28" s="1139"/>
      <c r="I28" s="1139"/>
      <c r="J28" s="1139"/>
      <c r="K28" s="1139"/>
    </row>
    <row r="29" spans="1:11" ht="15.75" thickBot="1">
      <c r="A29" s="1139"/>
      <c r="B29" s="1139"/>
      <c r="C29" s="1139"/>
      <c r="D29" s="1139"/>
      <c r="E29" s="1139"/>
      <c r="F29" s="1139"/>
      <c r="G29" s="1139"/>
      <c r="H29" s="1139"/>
      <c r="I29" s="1139"/>
      <c r="J29" s="1139"/>
      <c r="K29" s="1139"/>
    </row>
    <row r="30" spans="1:11" ht="15">
      <c r="A30" s="1301" t="s">
        <v>1031</v>
      </c>
      <c r="B30" s="1302"/>
      <c r="C30" s="1400"/>
      <c r="D30" s="1304"/>
      <c r="E30" s="1305"/>
      <c r="F30" s="1302"/>
      <c r="G30" s="1306"/>
      <c r="H30" s="1304"/>
      <c r="I30" s="1305"/>
      <c r="J30" s="1302"/>
      <c r="K30" s="1139"/>
    </row>
    <row r="31" spans="1:11" ht="15">
      <c r="A31" s="1401"/>
      <c r="B31" s="263">
        <v>390</v>
      </c>
      <c r="C31" s="264">
        <v>2.0799999999999999E-2</v>
      </c>
      <c r="D31" s="265">
        <v>0.68186831634107659</v>
      </c>
      <c r="E31" s="264">
        <f t="shared" ref="E31:E39" si="3">ROUND((C31*D31),6)</f>
        <v>1.4182999999999999E-2</v>
      </c>
      <c r="F31" s="1145"/>
      <c r="G31" s="264">
        <v>2.0799999999999999E-2</v>
      </c>
      <c r="H31" s="265">
        <v>0.31813168365892341</v>
      </c>
      <c r="I31" s="264">
        <f t="shared" ref="I31:I39" si="4">ROUND((G31*H31),6)</f>
        <v>6.6169999999999996E-3</v>
      </c>
      <c r="J31" s="1402"/>
      <c r="K31" s="258">
        <f t="shared" ref="K31:K39" si="5">ROUND(E31+I31,4)</f>
        <v>2.0799999999999999E-2</v>
      </c>
    </row>
    <row r="32" spans="1:11" ht="15">
      <c r="A32" s="1401"/>
      <c r="B32" s="263">
        <v>391</v>
      </c>
      <c r="C32" s="264">
        <v>4.7899999999999998E-2</v>
      </c>
      <c r="D32" s="265">
        <v>0.68186831634107659</v>
      </c>
      <c r="E32" s="264">
        <f t="shared" si="3"/>
        <v>3.2661000000000003E-2</v>
      </c>
      <c r="F32" s="1145"/>
      <c r="G32" s="264">
        <v>4.8399999999999999E-2</v>
      </c>
      <c r="H32" s="265">
        <v>0.31813168365892341</v>
      </c>
      <c r="I32" s="264">
        <f t="shared" si="4"/>
        <v>1.5398E-2</v>
      </c>
      <c r="J32" s="1402"/>
      <c r="K32" s="258">
        <f t="shared" si="5"/>
        <v>4.8099999999999997E-2</v>
      </c>
    </row>
    <row r="33" spans="1:11" ht="15">
      <c r="A33" s="1403" t="s">
        <v>1144</v>
      </c>
      <c r="B33" s="263">
        <v>392</v>
      </c>
      <c r="C33" s="264">
        <v>4.6399999999999997E-2</v>
      </c>
      <c r="D33" s="265">
        <v>0.68186831634107659</v>
      </c>
      <c r="E33" s="264">
        <f t="shared" si="3"/>
        <v>3.1639E-2</v>
      </c>
      <c r="F33" s="1145"/>
      <c r="G33" s="264">
        <v>4.6800000000000001E-2</v>
      </c>
      <c r="H33" s="265">
        <v>0.31813168365892341</v>
      </c>
      <c r="I33" s="264">
        <f t="shared" si="4"/>
        <v>1.4888999999999999E-2</v>
      </c>
      <c r="J33" s="1402"/>
      <c r="K33" s="258">
        <f t="shared" si="5"/>
        <v>4.65E-2</v>
      </c>
    </row>
    <row r="34" spans="1:11" ht="15">
      <c r="A34" s="1401"/>
      <c r="B34" s="263">
        <v>393</v>
      </c>
      <c r="C34" s="264">
        <v>7.3499999999999996E-2</v>
      </c>
      <c r="D34" s="265">
        <v>0.68186831634107659</v>
      </c>
      <c r="E34" s="264">
        <f t="shared" si="3"/>
        <v>5.0117000000000002E-2</v>
      </c>
      <c r="F34" s="1145"/>
      <c r="G34" s="264">
        <v>7.3800000000000004E-2</v>
      </c>
      <c r="H34" s="265">
        <v>0.31813168365892341</v>
      </c>
      <c r="I34" s="264">
        <f t="shared" si="4"/>
        <v>2.3477999999999999E-2</v>
      </c>
      <c r="J34" s="1402"/>
      <c r="K34" s="258">
        <f t="shared" si="5"/>
        <v>7.3599999999999999E-2</v>
      </c>
    </row>
    <row r="35" spans="1:11" ht="15">
      <c r="A35" s="1401"/>
      <c r="B35" s="263">
        <v>394</v>
      </c>
      <c r="C35" s="264">
        <v>6.9900000000000004E-2</v>
      </c>
      <c r="D35" s="265">
        <v>0.68186831634107659</v>
      </c>
      <c r="E35" s="264">
        <f t="shared" si="3"/>
        <v>4.7662999999999997E-2</v>
      </c>
      <c r="F35" s="1145"/>
      <c r="G35" s="264">
        <v>7.0699999999999999E-2</v>
      </c>
      <c r="H35" s="265">
        <v>0.31813168365892341</v>
      </c>
      <c r="I35" s="264">
        <f t="shared" si="4"/>
        <v>2.2492000000000002E-2</v>
      </c>
      <c r="J35" s="1402"/>
      <c r="K35" s="258">
        <f t="shared" si="5"/>
        <v>7.0199999999999999E-2</v>
      </c>
    </row>
    <row r="36" spans="1:11" ht="15">
      <c r="A36" s="1401"/>
      <c r="B36" s="263">
        <v>395</v>
      </c>
      <c r="C36" s="264">
        <v>5.4100000000000002E-2</v>
      </c>
      <c r="D36" s="265">
        <v>0.68186831634107659</v>
      </c>
      <c r="E36" s="264">
        <f t="shared" si="3"/>
        <v>3.6888999999999998E-2</v>
      </c>
      <c r="F36" s="1145"/>
      <c r="G36" s="264">
        <v>5.4600000000000003E-2</v>
      </c>
      <c r="H36" s="265">
        <v>0.31813168365892341</v>
      </c>
      <c r="I36" s="264">
        <f t="shared" si="4"/>
        <v>1.737E-2</v>
      </c>
      <c r="J36" s="1402"/>
      <c r="K36" s="258">
        <f t="shared" si="5"/>
        <v>5.4300000000000001E-2</v>
      </c>
    </row>
    <row r="37" spans="1:11" ht="15">
      <c r="A37" s="1401"/>
      <c r="B37" s="263">
        <v>396</v>
      </c>
      <c r="C37" s="264">
        <v>4.8099999999999997E-2</v>
      </c>
      <c r="D37" s="265">
        <v>0.68186831634107659</v>
      </c>
      <c r="E37" s="264">
        <f t="shared" si="3"/>
        <v>3.2798000000000001E-2</v>
      </c>
      <c r="F37" s="1145"/>
      <c r="G37" s="264">
        <v>4.9000000000000002E-2</v>
      </c>
      <c r="H37" s="265">
        <v>0.31813168365892341</v>
      </c>
      <c r="I37" s="264">
        <f t="shared" si="4"/>
        <v>1.5587999999999999E-2</v>
      </c>
      <c r="J37" s="1402"/>
      <c r="K37" s="258">
        <f t="shared" si="5"/>
        <v>4.8399999999999999E-2</v>
      </c>
    </row>
    <row r="38" spans="1:11" ht="15">
      <c r="A38" s="1401"/>
      <c r="B38" s="263">
        <v>397</v>
      </c>
      <c r="C38" s="264">
        <v>3.9100000000000003E-2</v>
      </c>
      <c r="D38" s="265">
        <v>0.68186831634107659</v>
      </c>
      <c r="E38" s="264">
        <f t="shared" si="3"/>
        <v>2.6661000000000001E-2</v>
      </c>
      <c r="F38" s="1145"/>
      <c r="G38" s="264">
        <v>3.9300000000000002E-2</v>
      </c>
      <c r="H38" s="265">
        <v>0.31813168365892341</v>
      </c>
      <c r="I38" s="264">
        <f t="shared" si="4"/>
        <v>1.2503E-2</v>
      </c>
      <c r="J38" s="1402"/>
      <c r="K38" s="258">
        <f t="shared" si="5"/>
        <v>3.9199999999999999E-2</v>
      </c>
    </row>
    <row r="39" spans="1:11" ht="15">
      <c r="A39" s="1401"/>
      <c r="B39" s="263">
        <v>398</v>
      </c>
      <c r="C39" s="264">
        <v>3.32E-2</v>
      </c>
      <c r="D39" s="265">
        <v>0.68186831634107659</v>
      </c>
      <c r="E39" s="264">
        <f t="shared" si="3"/>
        <v>2.2637999999999998E-2</v>
      </c>
      <c r="F39" s="1145"/>
      <c r="G39" s="264">
        <v>3.3500000000000002E-2</v>
      </c>
      <c r="H39" s="265">
        <v>0.31813168365892341</v>
      </c>
      <c r="I39" s="264">
        <f t="shared" si="4"/>
        <v>1.0657E-2</v>
      </c>
      <c r="J39" s="1402"/>
      <c r="K39" s="258">
        <f t="shared" si="5"/>
        <v>3.3300000000000003E-2</v>
      </c>
    </row>
    <row r="40" spans="1:11" ht="15.75" thickBot="1">
      <c r="A40" s="1307"/>
      <c r="B40" s="1308"/>
      <c r="C40" s="1309"/>
      <c r="D40" s="1310"/>
      <c r="E40" s="1311"/>
      <c r="F40" s="1308"/>
      <c r="G40" s="1311"/>
      <c r="H40" s="1310"/>
      <c r="I40" s="1311"/>
      <c r="J40" s="1308"/>
      <c r="K40" s="1139"/>
    </row>
    <row r="41" spans="1:11" ht="15">
      <c r="A41" s="1139"/>
      <c r="B41" s="1139"/>
      <c r="C41" s="1139"/>
      <c r="D41" s="1139"/>
      <c r="E41" s="1139"/>
      <c r="F41" s="1139"/>
      <c r="G41" s="1139"/>
      <c r="H41" s="1139"/>
      <c r="I41" s="1139"/>
      <c r="J41" s="1139"/>
      <c r="K41" s="1139"/>
    </row>
    <row r="42" spans="1:11" ht="15">
      <c r="A42" s="1139"/>
      <c r="B42" s="1139"/>
      <c r="C42" s="1139"/>
      <c r="D42" s="1139"/>
      <c r="E42" s="1139"/>
      <c r="F42" s="1139"/>
      <c r="G42" s="1139"/>
      <c r="H42" s="1139"/>
      <c r="I42" s="1139"/>
      <c r="J42" s="1139"/>
      <c r="K42" s="1139"/>
    </row>
    <row r="43" spans="1:11" ht="15">
      <c r="A43" s="1139"/>
      <c r="B43" s="1133"/>
      <c r="C43" s="258"/>
      <c r="D43" s="1139"/>
      <c r="E43" s="1139"/>
      <c r="F43" s="1139"/>
      <c r="G43" s="1140"/>
      <c r="H43" s="1139"/>
      <c r="I43" s="1139"/>
      <c r="J43" s="1139"/>
      <c r="K43" s="1139"/>
    </row>
    <row r="44" spans="1:11" ht="15.75">
      <c r="A44" s="1134" t="s">
        <v>1151</v>
      </c>
      <c r="B44" s="1147"/>
      <c r="C44" s="266"/>
      <c r="D44" s="1147"/>
      <c r="E44" s="1139"/>
      <c r="F44" s="1147"/>
      <c r="G44" s="1139"/>
      <c r="H44" s="1133"/>
      <c r="I44" s="1139"/>
      <c r="J44" s="1139"/>
      <c r="K44" s="1139"/>
    </row>
    <row r="45" spans="1:11" ht="15.75">
      <c r="A45" s="1134" t="s">
        <v>1152</v>
      </c>
      <c r="B45" s="1147"/>
      <c r="C45" s="266"/>
      <c r="D45" s="1147"/>
      <c r="E45" s="1147"/>
      <c r="F45" s="1147"/>
      <c r="G45" s="1139"/>
      <c r="H45" s="1133"/>
      <c r="I45" s="1139"/>
      <c r="J45" s="1139"/>
      <c r="K45" s="1139"/>
    </row>
    <row r="46" spans="1:11" ht="15.75">
      <c r="A46" s="1134" t="s">
        <v>1153</v>
      </c>
      <c r="B46" s="1147"/>
      <c r="C46" s="266"/>
      <c r="D46" s="1148"/>
      <c r="E46" s="1148"/>
      <c r="F46" s="1148"/>
      <c r="G46" s="1139"/>
      <c r="H46" s="1139"/>
      <c r="I46" s="1139"/>
      <c r="J46" s="1139"/>
      <c r="K46" s="1139"/>
    </row>
    <row r="47" spans="1:11" ht="15">
      <c r="A47" s="1654" t="s">
        <v>773</v>
      </c>
      <c r="B47" s="1655"/>
      <c r="C47" s="1655"/>
      <c r="D47" s="1655"/>
      <c r="E47" s="1655"/>
      <c r="F47" s="1655"/>
      <c r="G47" s="1655"/>
      <c r="H47" s="1655"/>
      <c r="I47" s="1655"/>
      <c r="J47" s="1655"/>
      <c r="K47" s="1139"/>
    </row>
    <row r="48" spans="1:11" ht="15">
      <c r="A48" s="1655"/>
      <c r="B48" s="1655"/>
      <c r="C48" s="1655"/>
      <c r="D48" s="1655"/>
      <c r="E48" s="1655"/>
      <c r="F48" s="1655"/>
      <c r="G48" s="1655"/>
      <c r="H48" s="1655"/>
      <c r="I48" s="1655"/>
      <c r="J48" s="1655"/>
      <c r="K48" s="1139"/>
    </row>
    <row r="49" spans="1:11" ht="20.25" customHeight="1">
      <c r="A49" s="1655"/>
      <c r="B49" s="1655"/>
      <c r="C49" s="1655"/>
      <c r="D49" s="1655"/>
      <c r="E49" s="1655"/>
      <c r="F49" s="1655"/>
      <c r="G49" s="1655"/>
      <c r="H49" s="1655"/>
      <c r="I49" s="1655"/>
      <c r="J49" s="1655"/>
      <c r="K49" s="1139"/>
    </row>
    <row r="50" spans="1:11" ht="15.75">
      <c r="A50" s="1139"/>
      <c r="B50" s="1147"/>
      <c r="C50" s="266"/>
      <c r="D50" s="1148"/>
      <c r="E50" s="1148"/>
      <c r="F50" s="1148"/>
      <c r="G50" s="1140"/>
      <c r="H50" s="1139"/>
      <c r="I50" s="1139"/>
      <c r="J50" s="1139"/>
      <c r="K50" s="1139"/>
    </row>
    <row r="51" spans="1:11" ht="15.75">
      <c r="A51" s="1149" t="s">
        <v>413</v>
      </c>
      <c r="B51" s="1133"/>
      <c r="C51" s="258"/>
      <c r="D51" s="1139"/>
      <c r="E51" s="1139"/>
      <c r="F51" s="1139"/>
      <c r="G51" s="1140"/>
      <c r="H51" s="1139"/>
      <c r="I51" s="1139"/>
      <c r="J51" s="1139"/>
      <c r="K51" s="1139"/>
    </row>
    <row r="52" spans="1:11" ht="15">
      <c r="A52" s="1404" t="s">
        <v>29</v>
      </c>
      <c r="B52" s="1405"/>
      <c r="C52" s="1405"/>
      <c r="D52" s="1406"/>
      <c r="E52" s="1139"/>
      <c r="F52" s="1139"/>
      <c r="G52" s="1140"/>
      <c r="H52" s="1139"/>
      <c r="I52" s="1139"/>
      <c r="J52" s="1139"/>
      <c r="K52" s="1139"/>
    </row>
    <row r="53" spans="1:11" ht="15">
      <c r="A53" s="1656" t="s">
        <v>774</v>
      </c>
      <c r="B53" s="1656"/>
      <c r="C53" s="1656"/>
      <c r="D53" s="1656"/>
      <c r="E53" s="1656"/>
      <c r="F53" s="1656"/>
      <c r="G53" s="1656"/>
      <c r="H53" s="1656"/>
      <c r="I53" s="1656"/>
      <c r="J53" s="1656"/>
      <c r="K53" s="1139"/>
    </row>
    <row r="54" spans="1:11" ht="15">
      <c r="A54" s="1656"/>
      <c r="B54" s="1656"/>
      <c r="C54" s="1656"/>
      <c r="D54" s="1656"/>
      <c r="E54" s="1656"/>
      <c r="F54" s="1656"/>
      <c r="G54" s="1656"/>
      <c r="H54" s="1656"/>
      <c r="I54" s="1656"/>
      <c r="J54" s="1656"/>
      <c r="K54" s="1139"/>
    </row>
    <row r="55" spans="1:11" ht="15">
      <c r="A55" s="1651" t="s">
        <v>822</v>
      </c>
      <c r="B55" s="1651"/>
      <c r="C55" s="1651"/>
      <c r="D55" s="1651"/>
      <c r="E55" s="1651"/>
      <c r="F55" s="1651"/>
      <c r="G55" s="1651"/>
      <c r="H55" s="1651"/>
      <c r="I55" s="1651"/>
      <c r="J55" s="1651"/>
      <c r="K55" s="1139"/>
    </row>
    <row r="56" spans="1:11" ht="15">
      <c r="A56" s="1651"/>
      <c r="B56" s="1651"/>
      <c r="C56" s="1651"/>
      <c r="D56" s="1651"/>
      <c r="E56" s="1651"/>
      <c r="F56" s="1651"/>
      <c r="G56" s="1651"/>
      <c r="H56" s="1651"/>
      <c r="I56" s="1651"/>
      <c r="J56" s="1651"/>
      <c r="K56" s="1139"/>
    </row>
    <row r="57" spans="1:11" ht="15">
      <c r="A57" s="1139"/>
      <c r="B57" s="1139"/>
      <c r="C57" s="1139"/>
      <c r="D57" s="1139"/>
      <c r="E57" s="1139"/>
      <c r="F57" s="1139"/>
      <c r="G57" s="1140"/>
      <c r="H57" s="1139"/>
      <c r="I57" s="1139"/>
      <c r="J57" s="1139"/>
      <c r="K57" s="1139"/>
    </row>
    <row r="58" spans="1:11" ht="15">
      <c r="A58" s="1139"/>
      <c r="B58" s="1139"/>
      <c r="C58" s="1139"/>
      <c r="D58" s="1139"/>
      <c r="E58" s="1139"/>
      <c r="F58" s="1139"/>
      <c r="G58" s="1140"/>
      <c r="H58" s="1139"/>
      <c r="I58" s="1139"/>
      <c r="J58" s="1139"/>
      <c r="K58" s="1139"/>
    </row>
    <row r="59" spans="1:11" ht="15">
      <c r="A59" s="1139"/>
      <c r="B59" s="1139"/>
      <c r="C59" s="1139"/>
      <c r="D59" s="1139"/>
      <c r="E59" s="1139"/>
      <c r="F59" s="1139"/>
      <c r="G59" s="1140"/>
      <c r="H59" s="1139"/>
      <c r="I59" s="1139"/>
      <c r="J59" s="1139"/>
      <c r="K59" s="1139"/>
    </row>
  </sheetData>
  <mergeCells count="13">
    <mergeCell ref="A55:J56"/>
    <mergeCell ref="A9:K9"/>
    <mergeCell ref="A10:K10"/>
    <mergeCell ref="C11:E11"/>
    <mergeCell ref="G11:I11"/>
    <mergeCell ref="A47:J49"/>
    <mergeCell ref="A53:J54"/>
    <mergeCell ref="A8:K8"/>
    <mergeCell ref="A3:K3"/>
    <mergeCell ref="A4:K4"/>
    <mergeCell ref="A5:K5"/>
    <mergeCell ref="A6:K6"/>
    <mergeCell ref="A7:K7"/>
  </mergeCells>
  <conditionalFormatting sqref="A3 A10 A53 A51:J52 A4:K9">
    <cfRule type="cellIs" dxfId="5" priority="1" stopIfTrue="1" operator="lessThan">
      <formula>0</formula>
    </cfRule>
  </conditionalFormatting>
  <pageMargins left="0.7" right="0.7" top="0.75" bottom="0.75" header="0.3" footer="0.3"/>
  <pageSetup scale="42"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G49"/>
  <sheetViews>
    <sheetView view="pageBreakPreview" zoomScale="60" zoomScaleNormal="70" workbookViewId="0">
      <selection activeCell="A3" sqref="A3"/>
    </sheetView>
  </sheetViews>
  <sheetFormatPr defaultColWidth="9.140625" defaultRowHeight="12.75"/>
  <cols>
    <col min="1" max="1" width="33.5703125" style="1132" customWidth="1"/>
    <col min="2" max="2" width="17.140625" style="1132" customWidth="1"/>
    <col min="3" max="3" width="23.42578125" style="1132" customWidth="1"/>
    <col min="4" max="4" width="9.140625" style="1132"/>
    <col min="5" max="5" width="21.85546875" style="1132" customWidth="1"/>
    <col min="6" max="16384" width="9.140625" style="1132"/>
  </cols>
  <sheetData>
    <row r="1" spans="1:7" s="763" customFormat="1" ht="15.75">
      <c r="A1" s="881" t="s">
        <v>114</v>
      </c>
      <c r="G1" s="264"/>
    </row>
    <row r="2" spans="1:7" s="763" customFormat="1" ht="15.75">
      <c r="A2" s="881" t="s">
        <v>114</v>
      </c>
      <c r="G2" s="264"/>
    </row>
    <row r="3" spans="1:7" ht="19.5">
      <c r="A3" s="1139" t="s">
        <v>114</v>
      </c>
      <c r="B3" s="1659" t="s">
        <v>391</v>
      </c>
      <c r="C3" s="1659"/>
      <c r="D3" s="1659"/>
      <c r="E3" s="1659"/>
    </row>
    <row r="4" spans="1:7" ht="19.5">
      <c r="A4" s="1139"/>
      <c r="B4" s="1659" t="s">
        <v>775</v>
      </c>
      <c r="C4" s="1659"/>
      <c r="D4" s="1659"/>
      <c r="E4" s="1659"/>
    </row>
    <row r="5" spans="1:7" ht="19.5">
      <c r="A5" s="1139"/>
      <c r="B5" s="1659" t="s">
        <v>776</v>
      </c>
      <c r="C5" s="1659"/>
      <c r="D5" s="1659"/>
      <c r="E5" s="1659"/>
    </row>
    <row r="6" spans="1:7" ht="19.5">
      <c r="A6" s="1139"/>
      <c r="B6" s="1659" t="s">
        <v>777</v>
      </c>
      <c r="C6" s="1659"/>
      <c r="D6" s="1659"/>
      <c r="E6" s="1659"/>
    </row>
    <row r="7" spans="1:7" ht="19.5">
      <c r="A7" s="1139"/>
      <c r="B7" s="1659" t="s">
        <v>778</v>
      </c>
      <c r="C7" s="1659"/>
      <c r="D7" s="1659"/>
      <c r="E7" s="1659"/>
    </row>
    <row r="8" spans="1:7" ht="19.5">
      <c r="A8" s="1139"/>
      <c r="B8" s="1659" t="s">
        <v>779</v>
      </c>
      <c r="C8" s="1659"/>
      <c r="D8" s="1659"/>
      <c r="E8" s="1659"/>
    </row>
    <row r="9" spans="1:7" ht="15">
      <c r="A9" s="1139"/>
      <c r="B9" s="1133"/>
      <c r="C9" s="1133"/>
      <c r="D9" s="1135" t="s">
        <v>114</v>
      </c>
      <c r="E9" s="1139"/>
    </row>
    <row r="10" spans="1:7" ht="15.75">
      <c r="A10" s="1133"/>
      <c r="B10" s="1150" t="s">
        <v>399</v>
      </c>
      <c r="C10" s="1139"/>
      <c r="D10" s="1139"/>
      <c r="E10" s="1151"/>
    </row>
    <row r="11" spans="1:7" ht="15.75">
      <c r="A11" s="1135"/>
      <c r="B11" s="1150" t="s">
        <v>403</v>
      </c>
      <c r="C11" s="1150" t="s">
        <v>404</v>
      </c>
      <c r="D11" s="1150"/>
      <c r="E11" s="1139"/>
    </row>
    <row r="12" spans="1:7" ht="15.75" thickBot="1">
      <c r="A12" s="1141"/>
      <c r="B12" s="1133"/>
      <c r="C12" s="1152" t="s">
        <v>498</v>
      </c>
      <c r="D12" s="1139"/>
      <c r="E12" s="1139"/>
    </row>
    <row r="13" spans="1:7" ht="15">
      <c r="A13" s="1143" t="s">
        <v>406</v>
      </c>
      <c r="B13" s="1144"/>
      <c r="C13" s="259"/>
      <c r="D13" s="1139"/>
      <c r="E13" s="1139"/>
    </row>
    <row r="14" spans="1:7" ht="15">
      <c r="A14" s="1139"/>
      <c r="B14" s="1153"/>
      <c r="C14" s="258"/>
      <c r="D14" s="1154"/>
      <c r="E14" s="1139"/>
    </row>
    <row r="15" spans="1:7" ht="15">
      <c r="A15" s="1139" t="s">
        <v>407</v>
      </c>
      <c r="B15" s="263">
        <v>352</v>
      </c>
      <c r="C15" s="258">
        <v>1.04E-2</v>
      </c>
      <c r="D15" s="1154"/>
      <c r="E15" s="1139"/>
    </row>
    <row r="16" spans="1:7" ht="15">
      <c r="A16" s="1139" t="s">
        <v>408</v>
      </c>
      <c r="B16" s="263">
        <v>353</v>
      </c>
      <c r="C16" s="258">
        <v>1.49E-2</v>
      </c>
      <c r="D16" s="1154"/>
      <c r="E16" s="1139"/>
    </row>
    <row r="17" spans="1:5" ht="15">
      <c r="A17" s="1139" t="s">
        <v>409</v>
      </c>
      <c r="B17" s="263">
        <v>354</v>
      </c>
      <c r="C17" s="258">
        <v>1.1999999999999999E-3</v>
      </c>
      <c r="D17" s="1154"/>
      <c r="E17" s="1139"/>
    </row>
    <row r="18" spans="1:5" ht="15">
      <c r="A18" s="1139" t="s">
        <v>410</v>
      </c>
      <c r="B18" s="263">
        <v>355</v>
      </c>
      <c r="C18" s="258">
        <v>2.1399999999999999E-2</v>
      </c>
      <c r="D18" s="1154"/>
      <c r="E18" s="1139"/>
    </row>
    <row r="19" spans="1:5" ht="15">
      <c r="A19" s="1139" t="s">
        <v>771</v>
      </c>
      <c r="B19" s="263">
        <v>356</v>
      </c>
      <c r="C19" s="258">
        <v>7.7000000000000002E-3</v>
      </c>
      <c r="D19" s="1154"/>
      <c r="E19" s="1139"/>
    </row>
    <row r="20" spans="1:5" ht="15">
      <c r="A20" s="1146" t="s">
        <v>411</v>
      </c>
      <c r="B20" s="263">
        <v>357</v>
      </c>
      <c r="C20" s="1155" t="s">
        <v>615</v>
      </c>
      <c r="D20" s="1139"/>
      <c r="E20" s="1139"/>
    </row>
    <row r="21" spans="1:5" ht="15">
      <c r="A21" s="1146" t="s">
        <v>412</v>
      </c>
      <c r="B21" s="263">
        <v>358</v>
      </c>
      <c r="C21" s="1155" t="s">
        <v>615</v>
      </c>
      <c r="D21" s="1154"/>
      <c r="E21" s="1139"/>
    </row>
    <row r="22" spans="1:5" ht="15.75">
      <c r="A22" s="1134" t="s">
        <v>780</v>
      </c>
      <c r="B22" s="1156"/>
      <c r="C22" s="1157">
        <v>1.46E-2</v>
      </c>
      <c r="D22" s="1154"/>
      <c r="E22" s="1139"/>
    </row>
    <row r="23" spans="1:5" ht="15.75">
      <c r="A23" s="1134"/>
      <c r="B23" s="1156"/>
      <c r="C23" s="1157"/>
      <c r="D23" s="1154"/>
      <c r="E23" s="1139"/>
    </row>
    <row r="24" spans="1:5" s="2" customFormat="1" ht="15.75">
      <c r="A24" s="1164" t="s">
        <v>806</v>
      </c>
      <c r="C24" s="1"/>
    </row>
    <row r="25" spans="1:5" s="2" customFormat="1">
      <c r="C25" s="1"/>
    </row>
    <row r="26" spans="1:5" s="2" customFormat="1" ht="15">
      <c r="A26" s="1165" t="s">
        <v>807</v>
      </c>
      <c r="B26" s="1169">
        <v>390</v>
      </c>
      <c r="C26" s="1168">
        <v>1.7100000000000001E-2</v>
      </c>
    </row>
    <row r="27" spans="1:5" s="2" customFormat="1" ht="15">
      <c r="A27" s="1165" t="s">
        <v>808</v>
      </c>
      <c r="B27" s="1169">
        <v>391</v>
      </c>
      <c r="C27" s="1168">
        <v>2.8199999999999999E-2</v>
      </c>
    </row>
    <row r="28" spans="1:5" s="2" customFormat="1" ht="15">
      <c r="A28" s="1165" t="s">
        <v>809</v>
      </c>
      <c r="B28" s="1169">
        <v>393</v>
      </c>
      <c r="C28" s="1168">
        <v>2.2200000000000001E-2</v>
      </c>
    </row>
    <row r="29" spans="1:5" s="2" customFormat="1" ht="15">
      <c r="A29" s="1165" t="s">
        <v>810</v>
      </c>
      <c r="B29" s="1169">
        <v>394</v>
      </c>
      <c r="C29" s="1168">
        <v>3.1199999999999999E-2</v>
      </c>
    </row>
    <row r="30" spans="1:5" s="2" customFormat="1" ht="15">
      <c r="A30" s="1165" t="s">
        <v>811</v>
      </c>
      <c r="B30" s="1169">
        <v>395</v>
      </c>
      <c r="C30" s="1168">
        <v>3.1699999999999999E-2</v>
      </c>
    </row>
    <row r="31" spans="1:5" s="2" customFormat="1" ht="15">
      <c r="A31" s="1165" t="s">
        <v>812</v>
      </c>
      <c r="B31" s="1169">
        <v>397</v>
      </c>
      <c r="C31" s="1168">
        <v>3.32E-2</v>
      </c>
    </row>
    <row r="32" spans="1:5" s="2" customFormat="1" ht="15">
      <c r="A32" s="1165" t="s">
        <v>813</v>
      </c>
      <c r="B32" s="1169">
        <v>398</v>
      </c>
      <c r="C32" s="1168">
        <v>4.9200000000000001E-2</v>
      </c>
    </row>
    <row r="33" spans="1:5" s="2" customFormat="1" ht="15">
      <c r="A33" s="37"/>
      <c r="B33" s="1165"/>
      <c r="C33" s="1168"/>
    </row>
    <row r="34" spans="1:5" s="2" customFormat="1" ht="15.75">
      <c r="A34" s="37"/>
      <c r="B34" s="1167" t="s">
        <v>814</v>
      </c>
      <c r="C34" s="1168">
        <v>3.2500000000000001E-2</v>
      </c>
    </row>
    <row r="35" spans="1:5" s="2" customFormat="1" ht="15.75">
      <c r="A35" s="37"/>
      <c r="B35" s="1167"/>
      <c r="C35" s="1166"/>
    </row>
    <row r="36" spans="1:5" ht="15.75">
      <c r="A36" s="1139" t="s">
        <v>781</v>
      </c>
      <c r="B36" s="1147"/>
      <c r="C36" s="266"/>
      <c r="D36" s="1139"/>
      <c r="E36" s="1139"/>
    </row>
    <row r="37" spans="1:5" ht="15">
      <c r="A37" s="1657"/>
      <c r="B37" s="1657"/>
      <c r="C37" s="1657"/>
      <c r="D37" s="1657"/>
      <c r="E37" s="1139"/>
    </row>
    <row r="38" spans="1:5" ht="15">
      <c r="A38" s="1657" t="s">
        <v>782</v>
      </c>
      <c r="B38" s="1657"/>
      <c r="C38" s="1657"/>
      <c r="D38" s="1657"/>
      <c r="E38" s="1139"/>
    </row>
    <row r="39" spans="1:5" ht="15">
      <c r="A39" s="1158" t="s">
        <v>158</v>
      </c>
      <c r="B39" s="1158"/>
      <c r="C39" s="1158"/>
      <c r="D39" s="1158"/>
      <c r="E39" s="1139"/>
    </row>
    <row r="40" spans="1:5" ht="15">
      <c r="A40" s="1657" t="s">
        <v>783</v>
      </c>
      <c r="B40" s="1657"/>
      <c r="C40" s="1657"/>
      <c r="D40" s="1139"/>
      <c r="E40" s="1139"/>
    </row>
    <row r="41" spans="1:5" ht="15">
      <c r="A41" s="1657"/>
      <c r="B41" s="1657"/>
      <c r="C41" s="1657"/>
      <c r="D41" s="1139"/>
      <c r="E41" s="1139"/>
    </row>
    <row r="42" spans="1:5" ht="15">
      <c r="A42" s="1139"/>
      <c r="B42" s="1133"/>
      <c r="C42" s="258"/>
      <c r="D42" s="1139"/>
      <c r="E42" s="1139"/>
    </row>
    <row r="43" spans="1:5" ht="15">
      <c r="A43" s="1657"/>
      <c r="B43" s="1657"/>
      <c r="C43" s="1657"/>
      <c r="D43" s="1657"/>
      <c r="E43" s="1139"/>
    </row>
    <row r="44" spans="1:5" ht="15.75">
      <c r="A44" s="1149" t="s">
        <v>784</v>
      </c>
      <c r="B44" s="1133"/>
      <c r="C44" s="258"/>
      <c r="D44" s="1139"/>
      <c r="E44" s="1139"/>
    </row>
    <row r="45" spans="1:5" ht="15">
      <c r="A45" s="1658" t="s">
        <v>822</v>
      </c>
      <c r="B45" s="1658"/>
      <c r="C45" s="1658"/>
      <c r="D45" s="1151"/>
      <c r="E45" s="1139"/>
    </row>
    <row r="46" spans="1:5" ht="15">
      <c r="A46" s="1658"/>
      <c r="B46" s="1658"/>
      <c r="C46" s="1658"/>
      <c r="D46" s="1151"/>
      <c r="E46" s="1139"/>
    </row>
    <row r="47" spans="1:5" ht="15">
      <c r="A47" s="1658"/>
      <c r="B47" s="1658"/>
      <c r="C47" s="1658"/>
      <c r="D47" s="1151"/>
      <c r="E47" s="1139"/>
    </row>
    <row r="48" spans="1:5" ht="15">
      <c r="A48" s="1658"/>
      <c r="B48" s="1658"/>
      <c r="C48" s="1658"/>
      <c r="D48" s="1151"/>
      <c r="E48" s="1139"/>
    </row>
    <row r="49" spans="1:5" ht="15">
      <c r="A49" s="1658"/>
      <c r="B49" s="1658"/>
      <c r="C49" s="1658"/>
      <c r="D49" s="1151"/>
      <c r="E49" s="1139"/>
    </row>
  </sheetData>
  <mergeCells count="11">
    <mergeCell ref="B8:E8"/>
    <mergeCell ref="B3:E3"/>
    <mergeCell ref="B4:E4"/>
    <mergeCell ref="B5:E5"/>
    <mergeCell ref="B6:E6"/>
    <mergeCell ref="B7:E7"/>
    <mergeCell ref="A37:D37"/>
    <mergeCell ref="A38:D38"/>
    <mergeCell ref="A40:C41"/>
    <mergeCell ref="A43:D43"/>
    <mergeCell ref="A45:C49"/>
  </mergeCells>
  <conditionalFormatting sqref="B3:E4">
    <cfRule type="cellIs" dxfId="4" priority="1" stopIfTrue="1" operator="lessThan">
      <formula>0</formula>
    </cfRule>
  </conditionalFormatting>
  <pageMargins left="0.7" right="0.7" top="0.75" bottom="0.75" header="0.3" footer="0.3"/>
  <pageSetup scale="86"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G33"/>
  <sheetViews>
    <sheetView view="pageBreakPreview" zoomScale="60" zoomScaleNormal="70" workbookViewId="0">
      <selection activeCell="A3" sqref="A3"/>
    </sheetView>
  </sheetViews>
  <sheetFormatPr defaultColWidth="9.140625" defaultRowHeight="12.75"/>
  <cols>
    <col min="1" max="1" width="9.140625" style="1132"/>
    <col min="2" max="2" width="38.5703125" style="1132" customWidth="1"/>
    <col min="3" max="3" width="21.85546875" style="1132" customWidth="1"/>
    <col min="4" max="4" width="25.85546875" style="1132" customWidth="1"/>
    <col min="5" max="16384" width="9.140625" style="1132"/>
  </cols>
  <sheetData>
    <row r="1" spans="1:7" s="763" customFormat="1" ht="15.75">
      <c r="A1" s="881" t="s">
        <v>114</v>
      </c>
      <c r="G1" s="264"/>
    </row>
    <row r="2" spans="1:7" s="763" customFormat="1" ht="15.75">
      <c r="A2" s="881" t="s">
        <v>114</v>
      </c>
      <c r="G2" s="264"/>
    </row>
    <row r="3" spans="1:7" ht="19.5">
      <c r="A3" s="1139" t="s">
        <v>114</v>
      </c>
      <c r="B3" s="1659" t="s">
        <v>391</v>
      </c>
      <c r="C3" s="1659"/>
      <c r="D3" s="1659"/>
      <c r="E3" s="1659"/>
    </row>
    <row r="4" spans="1:7" ht="19.5">
      <c r="A4" s="1139"/>
      <c r="B4" s="1659" t="s">
        <v>775</v>
      </c>
      <c r="C4" s="1659"/>
      <c r="D4" s="1659"/>
      <c r="E4" s="1659"/>
    </row>
    <row r="5" spans="1:7" ht="19.5">
      <c r="A5" s="1139"/>
      <c r="B5" s="1659" t="s">
        <v>776</v>
      </c>
      <c r="C5" s="1659"/>
      <c r="D5" s="1659"/>
      <c r="E5" s="1659"/>
    </row>
    <row r="6" spans="1:7" ht="19.5">
      <c r="A6" s="1139"/>
      <c r="B6" s="1659" t="s">
        <v>785</v>
      </c>
      <c r="C6" s="1659"/>
      <c r="D6" s="1659"/>
      <c r="E6" s="1659"/>
    </row>
    <row r="7" spans="1:7" ht="19.5">
      <c r="A7" s="1139"/>
      <c r="B7" s="1659" t="s">
        <v>778</v>
      </c>
      <c r="C7" s="1659"/>
      <c r="D7" s="1659"/>
      <c r="E7" s="1659"/>
    </row>
    <row r="8" spans="1:7" ht="19.5">
      <c r="A8" s="1139"/>
      <c r="B8" s="1659" t="s">
        <v>786</v>
      </c>
      <c r="C8" s="1659"/>
      <c r="D8" s="1659"/>
      <c r="E8" s="1659"/>
    </row>
    <row r="9" spans="1:7" ht="15">
      <c r="A9" s="1139"/>
      <c r="B9" s="1133"/>
      <c r="C9" s="1133"/>
      <c r="D9" s="1135" t="s">
        <v>114</v>
      </c>
      <c r="E9" s="1139"/>
    </row>
    <row r="10" spans="1:7" ht="15.75">
      <c r="A10" s="1139"/>
      <c r="B10" s="1133"/>
      <c r="C10" s="1150" t="s">
        <v>399</v>
      </c>
      <c r="D10" s="1139"/>
      <c r="E10" s="1139"/>
    </row>
    <row r="11" spans="1:7" ht="15.75">
      <c r="A11" s="1139"/>
      <c r="B11" s="1135"/>
      <c r="C11" s="1150" t="s">
        <v>403</v>
      </c>
      <c r="D11" s="1150" t="s">
        <v>404</v>
      </c>
      <c r="E11" s="1150"/>
    </row>
    <row r="12" spans="1:7" ht="15.75" thickBot="1">
      <c r="A12" s="1139"/>
      <c r="B12" s="1141"/>
      <c r="C12" s="1133"/>
      <c r="D12" s="1152" t="s">
        <v>498</v>
      </c>
      <c r="E12" s="1139"/>
    </row>
    <row r="13" spans="1:7" ht="15">
      <c r="A13" s="1139"/>
      <c r="B13" s="1143" t="s">
        <v>406</v>
      </c>
      <c r="C13" s="1144"/>
      <c r="D13" s="259"/>
      <c r="E13" s="1139"/>
    </row>
    <row r="14" spans="1:7" ht="15">
      <c r="A14" s="1139"/>
      <c r="B14" s="1139"/>
      <c r="C14" s="1153"/>
      <c r="D14" s="258"/>
      <c r="E14" s="1154"/>
    </row>
    <row r="15" spans="1:7" ht="15">
      <c r="A15" s="1139"/>
      <c r="B15" s="1139" t="s">
        <v>787</v>
      </c>
      <c r="C15" s="1146">
        <v>350.1</v>
      </c>
      <c r="D15" s="258">
        <v>1.44E-2</v>
      </c>
      <c r="E15" s="1154"/>
    </row>
    <row r="16" spans="1:7" ht="15">
      <c r="A16" s="1139"/>
      <c r="B16" s="1139" t="s">
        <v>407</v>
      </c>
      <c r="C16" s="263">
        <v>352</v>
      </c>
      <c r="D16" s="258">
        <v>2.0799999999999999E-2</v>
      </c>
      <c r="E16" s="1154"/>
    </row>
    <row r="17" spans="1:5" ht="15">
      <c r="A17" s="1139"/>
      <c r="B17" s="1139" t="s">
        <v>408</v>
      </c>
      <c r="C17" s="263">
        <v>353</v>
      </c>
      <c r="D17" s="258">
        <v>2.1499999999999998E-2</v>
      </c>
      <c r="E17" s="1154"/>
    </row>
    <row r="18" spans="1:5" ht="15">
      <c r="A18" s="1139"/>
      <c r="B18" s="1139" t="s">
        <v>409</v>
      </c>
      <c r="C18" s="263">
        <v>354</v>
      </c>
      <c r="D18" s="258">
        <v>2.6100000000000002E-2</v>
      </c>
      <c r="E18" s="1154"/>
    </row>
    <row r="19" spans="1:5" ht="15">
      <c r="A19" s="1139"/>
      <c r="B19" s="1139" t="s">
        <v>410</v>
      </c>
      <c r="C19" s="263">
        <v>355</v>
      </c>
      <c r="D19" s="258">
        <v>3.95E-2</v>
      </c>
      <c r="E19" s="1154"/>
    </row>
    <row r="20" spans="1:5" ht="15">
      <c r="A20" s="1139"/>
      <c r="B20" s="1139" t="s">
        <v>771</v>
      </c>
      <c r="C20" s="263">
        <v>356</v>
      </c>
      <c r="D20" s="258">
        <v>2.9100000000000001E-2</v>
      </c>
      <c r="E20" s="1154"/>
    </row>
    <row r="21" spans="1:5" ht="15">
      <c r="A21" s="1139"/>
      <c r="B21" s="1139" t="s">
        <v>411</v>
      </c>
      <c r="C21" s="263">
        <v>357</v>
      </c>
      <c r="D21" s="258">
        <v>2.9899999999999999E-2</v>
      </c>
      <c r="E21" s="1154"/>
    </row>
    <row r="22" spans="1:5" ht="15">
      <c r="A22" s="1139"/>
      <c r="B22" s="1139" t="s">
        <v>412</v>
      </c>
      <c r="C22" s="263">
        <v>358</v>
      </c>
      <c r="D22" s="258">
        <v>2.6200000000000001E-2</v>
      </c>
      <c r="E22" s="1154"/>
    </row>
    <row r="23" spans="1:5" ht="15">
      <c r="A23" s="1139"/>
      <c r="B23" s="1139"/>
      <c r="C23" s="1133"/>
      <c r="D23" s="258"/>
      <c r="E23" s="1139"/>
    </row>
    <row r="24" spans="1:5" ht="15.75">
      <c r="A24" s="1139"/>
      <c r="B24" s="1139" t="s">
        <v>781</v>
      </c>
      <c r="C24" s="1147"/>
      <c r="D24" s="266"/>
      <c r="E24" s="1139"/>
    </row>
    <row r="25" spans="1:5" ht="15">
      <c r="A25" s="1139"/>
      <c r="B25" s="1657"/>
      <c r="C25" s="1657"/>
      <c r="D25" s="1657"/>
      <c r="E25" s="1657"/>
    </row>
    <row r="26" spans="1:5" ht="15">
      <c r="A26" s="1139"/>
      <c r="B26" s="1657" t="s">
        <v>788</v>
      </c>
      <c r="C26" s="1657"/>
      <c r="D26" s="1657"/>
      <c r="E26" s="1657"/>
    </row>
    <row r="27" spans="1:5" ht="15">
      <c r="A27" s="1139"/>
      <c r="B27" s="1657"/>
      <c r="C27" s="1657"/>
      <c r="D27" s="1657"/>
      <c r="E27" s="1657"/>
    </row>
    <row r="28" spans="1:5" ht="15.75">
      <c r="A28" s="1139"/>
      <c r="B28" s="1149" t="s">
        <v>784</v>
      </c>
      <c r="C28" s="1133"/>
      <c r="D28" s="258"/>
      <c r="E28" s="1139"/>
    </row>
    <row r="29" spans="1:5" ht="15">
      <c r="A29" s="1139"/>
      <c r="B29" s="1658" t="s">
        <v>822</v>
      </c>
      <c r="C29" s="1658"/>
      <c r="D29" s="1658"/>
      <c r="E29" s="1151"/>
    </row>
    <row r="30" spans="1:5" ht="15">
      <c r="A30" s="1139"/>
      <c r="B30" s="1658"/>
      <c r="C30" s="1658"/>
      <c r="D30" s="1658"/>
      <c r="E30" s="1151"/>
    </row>
    <row r="31" spans="1:5" ht="15">
      <c r="A31" s="1139"/>
      <c r="B31" s="1658"/>
      <c r="C31" s="1658"/>
      <c r="D31" s="1658"/>
      <c r="E31" s="1151"/>
    </row>
    <row r="32" spans="1:5" ht="15">
      <c r="A32" s="1139"/>
      <c r="B32" s="1658"/>
      <c r="C32" s="1658"/>
      <c r="D32" s="1658"/>
      <c r="E32" s="1151"/>
    </row>
    <row r="33" spans="1:5" ht="15">
      <c r="A33" s="1139"/>
      <c r="B33" s="1658"/>
      <c r="C33" s="1658"/>
      <c r="D33" s="1658"/>
      <c r="E33" s="1151"/>
    </row>
  </sheetData>
  <mergeCells count="10">
    <mergeCell ref="B25:E25"/>
    <mergeCell ref="B26:E26"/>
    <mergeCell ref="B27:E27"/>
    <mergeCell ref="B29:D33"/>
    <mergeCell ref="B3:E3"/>
    <mergeCell ref="B4:E4"/>
    <mergeCell ref="B5:E5"/>
    <mergeCell ref="B6:E6"/>
    <mergeCell ref="B7:E7"/>
    <mergeCell ref="B8:E8"/>
  </mergeCells>
  <conditionalFormatting sqref="B3:E4">
    <cfRule type="cellIs" dxfId="3" priority="1" stopIfTrue="1" operator="lessThan">
      <formula>0</formula>
    </cfRule>
  </conditionalFormatting>
  <pageMargins left="0.7" right="0.7" top="0.75" bottom="0.75" header="0.3" footer="0.3"/>
  <pageSetup scale="86"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G47"/>
  <sheetViews>
    <sheetView view="pageBreakPreview" topLeftCell="A4" zoomScale="60" zoomScaleNormal="70" workbookViewId="0">
      <selection activeCell="A7" sqref="A7:D7"/>
    </sheetView>
  </sheetViews>
  <sheetFormatPr defaultColWidth="9.140625" defaultRowHeight="12.75"/>
  <cols>
    <col min="1" max="1" width="38.85546875" style="1132" customWidth="1"/>
    <col min="2" max="2" width="28.42578125" style="1132" customWidth="1"/>
    <col min="3" max="3" width="23.140625" style="1132" customWidth="1"/>
    <col min="4" max="16384" width="9.140625" style="1132"/>
  </cols>
  <sheetData>
    <row r="1" spans="1:7" s="763" customFormat="1" ht="15.75">
      <c r="A1" s="881" t="s">
        <v>114</v>
      </c>
      <c r="G1" s="264"/>
    </row>
    <row r="2" spans="1:7" s="763" customFormat="1" ht="15.75">
      <c r="A2" s="881" t="s">
        <v>114</v>
      </c>
      <c r="G2" s="264"/>
    </row>
    <row r="3" spans="1:7" ht="19.5">
      <c r="A3" s="1659" t="s">
        <v>391</v>
      </c>
      <c r="B3" s="1659"/>
      <c r="C3" s="1659"/>
      <c r="D3" s="1659"/>
    </row>
    <row r="4" spans="1:7" ht="19.5">
      <c r="A4" s="1659" t="s">
        <v>775</v>
      </c>
      <c r="B4" s="1659"/>
      <c r="C4" s="1659"/>
      <c r="D4" s="1659"/>
    </row>
    <row r="5" spans="1:7" ht="19.5">
      <c r="A5" s="1659" t="s">
        <v>776</v>
      </c>
      <c r="B5" s="1659"/>
      <c r="C5" s="1659"/>
      <c r="D5" s="1659"/>
    </row>
    <row r="6" spans="1:7" ht="19.5">
      <c r="A6" s="1659" t="s">
        <v>1113</v>
      </c>
      <c r="B6" s="1659"/>
      <c r="C6" s="1659"/>
      <c r="D6" s="1659"/>
    </row>
    <row r="7" spans="1:7" ht="19.5">
      <c r="A7" s="1659" t="s">
        <v>778</v>
      </c>
      <c r="B7" s="1659"/>
      <c r="C7" s="1659"/>
      <c r="D7" s="1659"/>
    </row>
    <row r="8" spans="1:7" ht="19.5">
      <c r="A8" s="1659" t="s">
        <v>789</v>
      </c>
      <c r="B8" s="1659"/>
      <c r="C8" s="1659"/>
      <c r="D8" s="1659"/>
    </row>
    <row r="9" spans="1:7" ht="15">
      <c r="A9" s="1133"/>
      <c r="B9" s="1133"/>
      <c r="C9" s="1135" t="s">
        <v>114</v>
      </c>
      <c r="D9" s="1139"/>
    </row>
    <row r="10" spans="1:7" ht="15.75">
      <c r="A10" s="1133"/>
      <c r="B10" s="1150" t="s">
        <v>399</v>
      </c>
      <c r="C10" s="1139"/>
      <c r="D10" s="1139"/>
    </row>
    <row r="11" spans="1:7" ht="15.75">
      <c r="A11" s="1135"/>
      <c r="B11" s="1150" t="s">
        <v>403</v>
      </c>
      <c r="C11" s="1150" t="s">
        <v>404</v>
      </c>
      <c r="D11" s="1150"/>
    </row>
    <row r="12" spans="1:7" ht="15.75" thickBot="1">
      <c r="A12" s="1141"/>
      <c r="B12" s="1133"/>
      <c r="C12" s="1152" t="s">
        <v>498</v>
      </c>
      <c r="D12" s="1139"/>
    </row>
    <row r="13" spans="1:7" ht="15">
      <c r="A13" s="1143" t="s">
        <v>406</v>
      </c>
      <c r="B13" s="1144"/>
      <c r="C13" s="259"/>
      <c r="D13" s="1139"/>
    </row>
    <row r="14" spans="1:7" ht="15">
      <c r="A14" s="1146" t="s">
        <v>407</v>
      </c>
      <c r="B14" s="263">
        <v>352</v>
      </c>
      <c r="C14" s="258">
        <v>2.0199999999999999E-2</v>
      </c>
      <c r="D14" s="1154"/>
    </row>
    <row r="15" spans="1:7" ht="15">
      <c r="A15" s="1146" t="s">
        <v>408</v>
      </c>
      <c r="B15" s="263">
        <v>353</v>
      </c>
      <c r="C15" s="258">
        <v>2.29E-2</v>
      </c>
      <c r="D15" s="1154"/>
    </row>
    <row r="16" spans="1:7" ht="15">
      <c r="A16" s="1153"/>
      <c r="B16" s="263"/>
      <c r="C16" s="258"/>
      <c r="D16" s="1154"/>
    </row>
    <row r="17" spans="1:4" ht="15">
      <c r="A17" s="1146" t="s">
        <v>790</v>
      </c>
      <c r="B17" s="263">
        <v>354</v>
      </c>
      <c r="C17" s="258">
        <v>1.8800000000000001E-2</v>
      </c>
      <c r="D17" s="1154"/>
    </row>
    <row r="18" spans="1:4" ht="15">
      <c r="A18" s="1146" t="s">
        <v>791</v>
      </c>
      <c r="B18" s="263">
        <v>354</v>
      </c>
      <c r="C18" s="258">
        <v>1.8800000000000001E-2</v>
      </c>
      <c r="D18" s="1154"/>
    </row>
    <row r="19" spans="1:4" ht="15">
      <c r="A19" s="1159"/>
      <c r="B19" s="1160"/>
      <c r="C19" s="297"/>
      <c r="D19" s="1154"/>
    </row>
    <row r="20" spans="1:4" ht="15">
      <c r="A20" s="1146" t="s">
        <v>792</v>
      </c>
      <c r="B20" s="263">
        <v>355</v>
      </c>
      <c r="C20" s="258">
        <v>3.5200000000000002E-2</v>
      </c>
      <c r="D20" s="1154"/>
    </row>
    <row r="21" spans="1:4" ht="15">
      <c r="A21" s="1146" t="s">
        <v>793</v>
      </c>
      <c r="B21" s="263">
        <v>355</v>
      </c>
      <c r="C21" s="258">
        <v>3.5200000000000002E-2</v>
      </c>
      <c r="D21" s="1154"/>
    </row>
    <row r="22" spans="1:4" ht="15">
      <c r="A22" s="1159"/>
      <c r="B22" s="263"/>
      <c r="C22" s="258"/>
      <c r="D22" s="1154"/>
    </row>
    <row r="23" spans="1:4" ht="15">
      <c r="A23" s="1146" t="s">
        <v>794</v>
      </c>
      <c r="B23" s="263">
        <v>356</v>
      </c>
      <c r="C23" s="258">
        <v>1.9099999999999999E-2</v>
      </c>
      <c r="D23" s="1154"/>
    </row>
    <row r="24" spans="1:4" ht="15">
      <c r="A24" s="1146" t="s">
        <v>795</v>
      </c>
      <c r="B24" s="263">
        <v>356</v>
      </c>
      <c r="C24" s="258">
        <v>1.9099999999999999E-2</v>
      </c>
      <c r="D24" s="1154"/>
    </row>
    <row r="25" spans="1:4" ht="15">
      <c r="A25" s="1146" t="s">
        <v>796</v>
      </c>
      <c r="B25" s="263">
        <v>356</v>
      </c>
      <c r="C25" s="258">
        <v>1.9099999999999999E-2</v>
      </c>
      <c r="D25" s="1154"/>
    </row>
    <row r="26" spans="1:4" ht="15">
      <c r="A26" s="1146" t="s">
        <v>797</v>
      </c>
      <c r="B26" s="263">
        <v>356</v>
      </c>
      <c r="C26" s="258">
        <v>1.9099999999999999E-2</v>
      </c>
      <c r="D26" s="1154"/>
    </row>
    <row r="27" spans="1:4" ht="15">
      <c r="A27" s="1146" t="s">
        <v>798</v>
      </c>
      <c r="B27" s="263">
        <v>356</v>
      </c>
      <c r="C27" s="258">
        <v>1.9099999999999999E-2</v>
      </c>
      <c r="D27" s="1154"/>
    </row>
    <row r="28" spans="1:4" ht="15">
      <c r="A28" s="1146"/>
      <c r="B28" s="263"/>
      <c r="C28" s="258"/>
      <c r="D28" s="1154"/>
    </row>
    <row r="29" spans="1:4" ht="15">
      <c r="A29" s="1146" t="s">
        <v>411</v>
      </c>
      <c r="B29" s="263">
        <v>357</v>
      </c>
      <c r="C29" s="258">
        <v>2.2599999999999999E-2</v>
      </c>
      <c r="D29" s="1154"/>
    </row>
    <row r="30" spans="1:4" ht="15">
      <c r="A30" s="1146" t="s">
        <v>412</v>
      </c>
      <c r="B30" s="263">
        <v>358</v>
      </c>
      <c r="C30" s="258">
        <v>3.27E-2</v>
      </c>
      <c r="D30" s="1154"/>
    </row>
    <row r="31" spans="1:4" ht="15">
      <c r="A31" s="1153"/>
      <c r="B31" s="1145"/>
      <c r="C31" s="297"/>
      <c r="D31" s="1139"/>
    </row>
    <row r="32" spans="1:4" ht="15.75" thickBot="1">
      <c r="A32" s="1161"/>
      <c r="B32" s="1162"/>
      <c r="C32" s="1163"/>
      <c r="D32" s="1139"/>
    </row>
    <row r="33" spans="1:4" ht="15">
      <c r="A33" s="1141"/>
      <c r="B33" s="1133"/>
      <c r="C33" s="258"/>
      <c r="D33" s="1139"/>
    </row>
    <row r="34" spans="1:4" ht="15">
      <c r="A34" s="1139"/>
      <c r="B34" s="1133"/>
      <c r="C34" s="258"/>
      <c r="D34" s="1139"/>
    </row>
    <row r="35" spans="1:4" ht="15.75">
      <c r="A35" s="1139" t="s">
        <v>781</v>
      </c>
      <c r="B35" s="1147"/>
      <c r="C35" s="266"/>
      <c r="D35" s="1139"/>
    </row>
    <row r="36" spans="1:4" ht="15">
      <c r="A36" s="1139"/>
      <c r="B36" s="1139"/>
      <c r="C36" s="1139"/>
      <c r="D36" s="1139"/>
    </row>
    <row r="37" spans="1:4" ht="15">
      <c r="A37" s="1657" t="s">
        <v>799</v>
      </c>
      <c r="B37" s="1657"/>
      <c r="C37" s="1657"/>
      <c r="D37" s="1657"/>
    </row>
    <row r="38" spans="1:4" ht="15">
      <c r="A38" s="1139" t="s">
        <v>800</v>
      </c>
      <c r="B38" s="1139"/>
      <c r="C38" s="1139"/>
      <c r="D38" s="1139"/>
    </row>
    <row r="39" spans="1:4" ht="15">
      <c r="A39" s="1139" t="s">
        <v>801</v>
      </c>
      <c r="B39" s="1139"/>
      <c r="C39" s="1139"/>
      <c r="D39" s="1139"/>
    </row>
    <row r="40" spans="1:4" ht="15">
      <c r="A40" s="1139"/>
      <c r="B40" s="1139"/>
      <c r="C40" s="1139"/>
      <c r="D40" s="1139"/>
    </row>
    <row r="41" spans="1:4" ht="15.75">
      <c r="A41" s="1149" t="s">
        <v>802</v>
      </c>
      <c r="B41" s="1133"/>
      <c r="C41" s="258"/>
      <c r="D41" s="1139"/>
    </row>
    <row r="42" spans="1:4">
      <c r="A42" s="1658" t="s">
        <v>822</v>
      </c>
      <c r="B42" s="1658"/>
      <c r="C42" s="1658"/>
      <c r="D42" s="1151"/>
    </row>
    <row r="43" spans="1:4">
      <c r="A43" s="1658"/>
      <c r="B43" s="1658"/>
      <c r="C43" s="1658"/>
      <c r="D43" s="1151"/>
    </row>
    <row r="44" spans="1:4">
      <c r="A44" s="1658"/>
      <c r="B44" s="1658"/>
      <c r="C44" s="1658"/>
      <c r="D44" s="1151"/>
    </row>
    <row r="45" spans="1:4">
      <c r="A45" s="1658"/>
      <c r="B45" s="1658"/>
      <c r="C45" s="1658"/>
      <c r="D45" s="1151"/>
    </row>
    <row r="46" spans="1:4">
      <c r="A46" s="1658"/>
      <c r="B46" s="1658"/>
      <c r="C46" s="1658"/>
      <c r="D46" s="1151"/>
    </row>
    <row r="47" spans="1:4" ht="15">
      <c r="A47" s="1139"/>
      <c r="B47" s="1139"/>
      <c r="C47" s="1139"/>
      <c r="D47" s="1139"/>
    </row>
  </sheetData>
  <mergeCells count="8">
    <mergeCell ref="A37:D37"/>
    <mergeCell ref="A42:C46"/>
    <mergeCell ref="A3:D3"/>
    <mergeCell ref="A4:D4"/>
    <mergeCell ref="A5:D5"/>
    <mergeCell ref="A6:D6"/>
    <mergeCell ref="A7:D7"/>
    <mergeCell ref="A8:D8"/>
  </mergeCells>
  <pageMargins left="0.7" right="0.7" top="0.75" bottom="0.75" header="0.3" footer="0.3"/>
  <pageSetup scale="91"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ransitionEvaluation="1" codeName="Sheet27">
    <pageSetUpPr fitToPage="1"/>
  </sheetPr>
  <dimension ref="A1:H45"/>
  <sheetViews>
    <sheetView defaultGridColor="0" view="pageBreakPreview" colorId="22" zoomScale="60" zoomScaleNormal="75" workbookViewId="0">
      <selection activeCell="B7" sqref="B7:E7"/>
    </sheetView>
  </sheetViews>
  <sheetFormatPr defaultColWidth="14.5703125" defaultRowHeight="15"/>
  <cols>
    <col min="1" max="1" width="41.5703125" style="1139" customWidth="1"/>
    <col min="2" max="2" width="33.140625" style="1139" customWidth="1"/>
    <col min="3" max="4" width="31.85546875" style="1139" customWidth="1"/>
    <col min="5" max="5" width="16.5703125" style="1139" customWidth="1"/>
    <col min="6" max="6" width="14.5703125" style="1139" customWidth="1"/>
    <col min="7" max="7" width="4.85546875" style="1139" customWidth="1"/>
    <col min="8" max="8" width="14.5703125" style="1140" customWidth="1"/>
    <col min="9" max="9" width="18.42578125" style="1139" customWidth="1"/>
    <col min="10" max="10" width="15.5703125" style="1139" customWidth="1"/>
    <col min="11" max="11" width="6.140625" style="1139" customWidth="1"/>
    <col min="12" max="12" width="14.5703125" style="1139" customWidth="1"/>
    <col min="13" max="13" width="16.140625" style="1139" customWidth="1"/>
    <col min="14" max="14" width="14.5703125" style="1139" customWidth="1"/>
    <col min="15" max="15" width="4.85546875" style="1139" customWidth="1"/>
    <col min="16" max="16" width="18.5703125" style="1139" customWidth="1"/>
    <col min="17" max="16384" width="14.5703125" style="1139"/>
  </cols>
  <sheetData>
    <row r="1" spans="1:7" s="763" customFormat="1" ht="15.75">
      <c r="A1" s="881" t="s">
        <v>114</v>
      </c>
      <c r="G1" s="264"/>
    </row>
    <row r="2" spans="1:7" s="763" customFormat="1" ht="15.75">
      <c r="A2" s="881" t="s">
        <v>114</v>
      </c>
      <c r="G2" s="264"/>
    </row>
    <row r="3" spans="1:7" ht="19.5">
      <c r="B3" s="1659" t="s">
        <v>391</v>
      </c>
      <c r="C3" s="1659"/>
      <c r="D3" s="1659"/>
      <c r="E3" s="1659"/>
    </row>
    <row r="4" spans="1:7" ht="19.5">
      <c r="B4" s="1659" t="s">
        <v>775</v>
      </c>
      <c r="C4" s="1659"/>
      <c r="D4" s="1659"/>
      <c r="E4" s="1659"/>
    </row>
    <row r="5" spans="1:7" ht="19.5">
      <c r="B5" s="1659" t="s">
        <v>776</v>
      </c>
      <c r="C5" s="1659"/>
      <c r="D5" s="1659"/>
      <c r="E5" s="1659"/>
    </row>
    <row r="6" spans="1:7" ht="19.5">
      <c r="B6" s="1659" t="s">
        <v>1114</v>
      </c>
      <c r="C6" s="1659"/>
      <c r="D6" s="1659"/>
      <c r="E6" s="1659"/>
    </row>
    <row r="7" spans="1:7" ht="19.5">
      <c r="B7" s="1659" t="s">
        <v>778</v>
      </c>
      <c r="C7" s="1659"/>
      <c r="D7" s="1659"/>
      <c r="E7" s="1659"/>
    </row>
    <row r="8" spans="1:7" ht="19.5">
      <c r="B8" s="1659" t="s">
        <v>803</v>
      </c>
      <c r="C8" s="1659"/>
      <c r="D8" s="1659"/>
      <c r="E8" s="1659"/>
    </row>
    <row r="9" spans="1:7">
      <c r="B9" s="1133"/>
      <c r="C9" s="1133"/>
      <c r="D9" s="1135" t="s">
        <v>114</v>
      </c>
    </row>
    <row r="10" spans="1:7">
      <c r="A10" s="1660"/>
      <c r="B10" s="1660"/>
      <c r="C10" s="1660"/>
      <c r="D10" s="1312"/>
    </row>
    <row r="11" spans="1:7" ht="15.75">
      <c r="A11" s="1133"/>
      <c r="B11" s="1150" t="s">
        <v>399</v>
      </c>
    </row>
    <row r="12" spans="1:7" ht="15.75">
      <c r="A12" s="1135"/>
      <c r="B12" s="1150" t="s">
        <v>403</v>
      </c>
      <c r="C12" s="1150" t="s">
        <v>404</v>
      </c>
      <c r="D12" s="1150"/>
    </row>
    <row r="13" spans="1:7" ht="15.75" thickBot="1">
      <c r="C13" s="1154" t="s">
        <v>498</v>
      </c>
    </row>
    <row r="14" spans="1:7">
      <c r="A14" s="1143" t="s">
        <v>406</v>
      </c>
      <c r="B14" s="1144"/>
      <c r="C14" s="259"/>
    </row>
    <row r="15" spans="1:7">
      <c r="A15" s="1153"/>
      <c r="D15" s="1154"/>
    </row>
    <row r="16" spans="1:7">
      <c r="A16" s="1146" t="s">
        <v>407</v>
      </c>
      <c r="B16" s="263">
        <v>352</v>
      </c>
      <c r="C16" s="258">
        <v>1.15E-2</v>
      </c>
      <c r="D16" s="1154"/>
    </row>
    <row r="17" spans="1:4">
      <c r="A17" s="1159" t="s">
        <v>408</v>
      </c>
      <c r="B17" s="263">
        <v>353</v>
      </c>
      <c r="C17" s="258">
        <v>2.2200000000000001E-2</v>
      </c>
      <c r="D17" s="1154"/>
    </row>
    <row r="18" spans="1:4">
      <c r="A18" s="1159" t="s">
        <v>409</v>
      </c>
      <c r="B18" s="263">
        <v>354</v>
      </c>
      <c r="C18" s="258">
        <v>2.6499999999999999E-2</v>
      </c>
      <c r="D18" s="1154"/>
    </row>
    <row r="19" spans="1:4">
      <c r="A19" s="1159" t="s">
        <v>410</v>
      </c>
      <c r="B19" s="263">
        <v>355</v>
      </c>
      <c r="C19" s="258">
        <v>2.41E-2</v>
      </c>
      <c r="D19" s="1154"/>
    </row>
    <row r="20" spans="1:4">
      <c r="A20" s="1159" t="s">
        <v>771</v>
      </c>
      <c r="B20" s="263">
        <v>356</v>
      </c>
      <c r="C20" s="258">
        <v>1.32E-2</v>
      </c>
      <c r="D20" s="1154"/>
    </row>
    <row r="21" spans="1:4">
      <c r="A21" s="1159" t="s">
        <v>411</v>
      </c>
      <c r="B21" s="263">
        <v>351</v>
      </c>
      <c r="C21" s="258">
        <v>9.9400000000000002E-2</v>
      </c>
      <c r="D21" s="1154"/>
    </row>
    <row r="22" spans="1:4">
      <c r="A22" s="1159" t="s">
        <v>412</v>
      </c>
      <c r="B22" s="263">
        <v>351</v>
      </c>
      <c r="C22" s="258">
        <v>0.13980000000000001</v>
      </c>
      <c r="D22" s="1154"/>
    </row>
    <row r="23" spans="1:4">
      <c r="A23" s="1159" t="s">
        <v>772</v>
      </c>
      <c r="B23" s="263">
        <v>359</v>
      </c>
      <c r="C23" s="1152" t="s">
        <v>804</v>
      </c>
      <c r="D23" s="1154"/>
    </row>
    <row r="24" spans="1:4" ht="15.75" thickBot="1">
      <c r="A24" s="1159"/>
      <c r="B24" s="263"/>
      <c r="C24" s="258"/>
      <c r="D24" s="1154"/>
    </row>
    <row r="25" spans="1:4">
      <c r="A25" s="1143" t="s">
        <v>806</v>
      </c>
      <c r="B25" s="1144"/>
      <c r="C25" s="259"/>
      <c r="D25" s="1154"/>
    </row>
    <row r="26" spans="1:4" ht="15" customHeight="1">
      <c r="A26" s="1159"/>
      <c r="B26" s="263"/>
      <c r="C26" s="258"/>
      <c r="D26" s="1154"/>
    </row>
    <row r="27" spans="1:4">
      <c r="A27" s="1159" t="s">
        <v>807</v>
      </c>
      <c r="B27" s="263">
        <v>390</v>
      </c>
      <c r="C27" s="258">
        <v>1.0800000000000001E-2</v>
      </c>
      <c r="D27" s="1154"/>
    </row>
    <row r="28" spans="1:4">
      <c r="A28" s="1159" t="s">
        <v>808</v>
      </c>
      <c r="B28" s="263">
        <v>391</v>
      </c>
      <c r="C28" s="258">
        <v>2.1299999999999999E-2</v>
      </c>
      <c r="D28" s="1154"/>
    </row>
    <row r="29" spans="1:4">
      <c r="A29" s="1159" t="s">
        <v>809</v>
      </c>
      <c r="B29" s="263">
        <v>393</v>
      </c>
      <c r="C29" s="258">
        <v>1.78E-2</v>
      </c>
      <c r="D29" s="1154"/>
    </row>
    <row r="30" spans="1:4" ht="15" customHeight="1">
      <c r="A30" s="1159" t="s">
        <v>810</v>
      </c>
      <c r="B30" s="263">
        <v>394</v>
      </c>
      <c r="C30" s="258">
        <v>1.6500000000000001E-2</v>
      </c>
      <c r="D30" s="1154"/>
    </row>
    <row r="31" spans="1:4">
      <c r="A31" s="1159" t="s">
        <v>812</v>
      </c>
      <c r="B31" s="263">
        <v>397</v>
      </c>
      <c r="C31" s="258">
        <v>5.0900000000000001E-2</v>
      </c>
      <c r="D31" s="1154"/>
    </row>
    <row r="32" spans="1:4">
      <c r="A32" s="1159" t="s">
        <v>813</v>
      </c>
      <c r="B32" s="263">
        <v>398</v>
      </c>
      <c r="C32" s="258">
        <v>2.76E-2</v>
      </c>
      <c r="D32" s="1154"/>
    </row>
    <row r="33" spans="1:4">
      <c r="A33" s="1159"/>
      <c r="B33" s="263"/>
      <c r="C33" s="258"/>
      <c r="D33" s="1154"/>
    </row>
    <row r="34" spans="1:4">
      <c r="A34" s="1159"/>
      <c r="B34" s="263"/>
      <c r="C34" s="258"/>
      <c r="D34" s="1154"/>
    </row>
    <row r="35" spans="1:4">
      <c r="A35" s="1159"/>
      <c r="B35" s="263"/>
      <c r="C35" s="258"/>
      <c r="D35" s="1154"/>
    </row>
    <row r="36" spans="1:4">
      <c r="A36" s="1153"/>
      <c r="B36" s="1145"/>
      <c r="C36" s="297"/>
    </row>
    <row r="37" spans="1:4">
      <c r="A37" s="1657" t="s">
        <v>805</v>
      </c>
      <c r="B37" s="1657"/>
      <c r="C37" s="1657"/>
      <c r="D37" s="1657"/>
    </row>
    <row r="38" spans="1:4" ht="15.75">
      <c r="B38" s="1147"/>
      <c r="C38" s="266"/>
    </row>
    <row r="39" spans="1:4">
      <c r="A39" s="1657"/>
      <c r="B39" s="1657"/>
      <c r="C39" s="1657"/>
      <c r="D39" s="1657"/>
    </row>
    <row r="40" spans="1:4" ht="15.75">
      <c r="A40" s="1149" t="s">
        <v>802</v>
      </c>
      <c r="B40" s="1133"/>
      <c r="C40" s="258"/>
    </row>
    <row r="41" spans="1:4">
      <c r="A41" s="1660" t="s">
        <v>822</v>
      </c>
      <c r="B41" s="1660"/>
      <c r="C41" s="1660"/>
      <c r="D41" s="1312"/>
    </row>
    <row r="42" spans="1:4">
      <c r="A42" s="1660"/>
      <c r="B42" s="1660"/>
      <c r="C42" s="1660"/>
      <c r="D42" s="1312"/>
    </row>
    <row r="43" spans="1:4">
      <c r="A43" s="1660"/>
      <c r="B43" s="1660"/>
      <c r="C43" s="1660"/>
      <c r="D43" s="1312"/>
    </row>
    <row r="44" spans="1:4">
      <c r="A44" s="1660"/>
      <c r="B44" s="1660"/>
      <c r="C44" s="1660"/>
      <c r="D44" s="1312"/>
    </row>
    <row r="45" spans="1:4">
      <c r="A45" s="1660"/>
      <c r="B45" s="1660"/>
      <c r="C45" s="1660"/>
      <c r="D45" s="1312"/>
    </row>
  </sheetData>
  <mergeCells count="10">
    <mergeCell ref="A37:D37"/>
    <mergeCell ref="A39:D39"/>
    <mergeCell ref="A41:C45"/>
    <mergeCell ref="A10:C10"/>
    <mergeCell ref="B3:E3"/>
    <mergeCell ref="B4:E4"/>
    <mergeCell ref="B5:E5"/>
    <mergeCell ref="B6:E6"/>
    <mergeCell ref="B7:E7"/>
    <mergeCell ref="B8:E8"/>
  </mergeCells>
  <conditionalFormatting sqref="F3:T4">
    <cfRule type="cellIs" dxfId="2" priority="4" stopIfTrue="1" operator="lessThan">
      <formula>0</formula>
    </cfRule>
  </conditionalFormatting>
  <conditionalFormatting sqref="B3:E4">
    <cfRule type="cellIs" dxfId="1" priority="2" stopIfTrue="1" operator="lessThan">
      <formula>0</formula>
    </cfRule>
  </conditionalFormatting>
  <conditionalFormatting sqref="C23">
    <cfRule type="cellIs" dxfId="0" priority="1" stopIfTrue="1" operator="lessThan">
      <formula>0</formula>
    </cfRule>
  </conditionalFormatting>
  <printOptions horizontalCentered="1"/>
  <pageMargins left="0.55000000000000004" right="0.55000000000000004" top="1.25" bottom="0.75" header="0.75" footer="0.27"/>
  <pageSetup scale="68" orientation="landscape" r:id="rId1"/>
  <headerFooter alignWithMargins="0">
    <oddHeader>&amp;RFormula Rate 
&amp;A
Page &amp;P of &amp;N</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K57"/>
  <sheetViews>
    <sheetView view="pageBreakPreview" zoomScale="60" zoomScaleNormal="100" workbookViewId="0">
      <selection activeCell="F15" sqref="F15"/>
    </sheetView>
  </sheetViews>
  <sheetFormatPr defaultRowHeight="12.75"/>
  <cols>
    <col min="1" max="1" width="28.42578125" customWidth="1"/>
    <col min="4" max="4" width="28.85546875" customWidth="1"/>
    <col min="6" max="6" width="20.5703125" customWidth="1"/>
    <col min="8" max="8" width="21.42578125" customWidth="1"/>
    <col min="9" max="9" width="14.85546875" customWidth="1"/>
    <col min="11" max="11" width="18.85546875" customWidth="1"/>
  </cols>
  <sheetData>
    <row r="1" spans="1:11" ht="15.75">
      <c r="A1" s="1661" t="s">
        <v>387</v>
      </c>
      <c r="B1" s="1661"/>
      <c r="C1" s="1661"/>
      <c r="D1" s="1661"/>
      <c r="E1" s="1661"/>
      <c r="F1" s="1661"/>
      <c r="G1" s="1661"/>
      <c r="H1" s="1661"/>
      <c r="I1" s="1661"/>
      <c r="J1" s="1661"/>
      <c r="K1" s="1661"/>
    </row>
    <row r="2" spans="1:11" ht="15.75">
      <c r="A2" s="1662" t="s">
        <v>566</v>
      </c>
      <c r="B2" s="1662"/>
      <c r="C2" s="1662"/>
      <c r="D2" s="1662"/>
      <c r="E2" s="1662"/>
      <c r="F2" s="1662"/>
      <c r="G2" s="1662"/>
      <c r="H2" s="1662"/>
      <c r="I2" s="1662"/>
      <c r="J2" s="1662"/>
      <c r="K2" s="1662"/>
    </row>
    <row r="3" spans="1:11" ht="15.75">
      <c r="A3" s="1662" t="s">
        <v>567</v>
      </c>
      <c r="B3" s="1662"/>
      <c r="C3" s="1662"/>
      <c r="D3" s="1662"/>
      <c r="E3" s="1662"/>
      <c r="F3" s="1662"/>
      <c r="G3" s="1662"/>
      <c r="H3" s="1662"/>
      <c r="I3" s="1662"/>
      <c r="J3" s="1662"/>
      <c r="K3" s="1662"/>
    </row>
    <row r="4" spans="1:11" ht="15.75">
      <c r="A4" s="507"/>
      <c r="B4" s="507"/>
      <c r="C4" s="507"/>
      <c r="D4" s="1662"/>
      <c r="E4" s="1662"/>
      <c r="F4" s="1662"/>
      <c r="G4" s="1662"/>
      <c r="H4" s="507"/>
      <c r="I4" s="507"/>
      <c r="J4" s="507"/>
      <c r="K4" s="507"/>
    </row>
    <row r="5" spans="1:11">
      <c r="A5" s="401"/>
      <c r="B5" s="401"/>
      <c r="C5" s="401"/>
      <c r="D5" s="401"/>
      <c r="E5" s="401"/>
      <c r="F5" s="401"/>
      <c r="G5" s="401"/>
      <c r="H5" s="401"/>
      <c r="I5" s="401"/>
      <c r="J5" s="401"/>
      <c r="K5" s="401"/>
    </row>
    <row r="6" spans="1:11">
      <c r="A6" s="401"/>
      <c r="B6" s="401"/>
      <c r="C6" s="401"/>
      <c r="D6" s="401"/>
      <c r="E6" s="401"/>
      <c r="F6" s="401"/>
      <c r="G6" s="401"/>
      <c r="H6" s="401"/>
      <c r="I6" s="401"/>
      <c r="J6" s="401"/>
      <c r="K6" s="401"/>
    </row>
    <row r="7" spans="1:11" ht="16.5" thickBot="1">
      <c r="A7" s="787"/>
      <c r="B7" s="788"/>
      <c r="C7" s="788"/>
      <c r="D7" s="788"/>
      <c r="E7" s="788"/>
      <c r="F7" s="788"/>
      <c r="G7" s="788"/>
      <c r="H7" s="788"/>
      <c r="I7" s="788"/>
      <c r="J7" s="788"/>
      <c r="K7" s="788"/>
    </row>
    <row r="8" spans="1:11" ht="47.25">
      <c r="A8" s="789" t="str">
        <f>"Reconciliation Revenue Requirement For Year 2018 Available May 25, 2019"</f>
        <v>Reconciliation Revenue Requirement For Year 2018 Available May 25, 2019</v>
      </c>
      <c r="B8" s="788"/>
      <c r="C8" s="788"/>
      <c r="D8" s="789" t="s">
        <v>1118</v>
      </c>
      <c r="E8" s="788"/>
      <c r="F8" s="788"/>
      <c r="G8" s="507"/>
      <c r="H8" s="789" t="s">
        <v>547</v>
      </c>
      <c r="I8" s="507"/>
      <c r="J8" s="507"/>
      <c r="K8" s="507"/>
    </row>
    <row r="9" spans="1:11" ht="15.75">
      <c r="A9" s="790" t="s">
        <v>114</v>
      </c>
      <c r="B9" s="788"/>
      <c r="C9" s="788"/>
      <c r="D9" s="790"/>
      <c r="E9" s="788"/>
      <c r="F9" s="788"/>
      <c r="G9" s="507"/>
      <c r="H9" s="791"/>
      <c r="I9" s="507"/>
      <c r="J9" s="507"/>
      <c r="K9" s="507"/>
    </row>
    <row r="10" spans="1:11" ht="16.5" thickBot="1">
      <c r="A10" s="873">
        <v>0</v>
      </c>
      <c r="B10" s="792" t="str">
        <f>"-"</f>
        <v>-</v>
      </c>
      <c r="C10" s="793"/>
      <c r="D10" s="873">
        <v>0</v>
      </c>
      <c r="E10" s="794"/>
      <c r="F10" s="795" t="str">
        <f>"="</f>
        <v>=</v>
      </c>
      <c r="G10" s="796"/>
      <c r="H10" s="797">
        <f>IF(A10=0,0,D10-A10)</f>
        <v>0</v>
      </c>
      <c r="I10" s="507"/>
      <c r="J10" s="507"/>
      <c r="K10" s="507"/>
    </row>
    <row r="11" spans="1:11" ht="15.75">
      <c r="A11" s="798"/>
      <c r="B11" s="799"/>
      <c r="C11" s="799"/>
      <c r="D11" s="798"/>
      <c r="E11" s="798"/>
      <c r="F11" s="799"/>
      <c r="G11" s="798"/>
      <c r="H11" s="507"/>
      <c r="I11" s="507"/>
      <c r="J11" s="507"/>
      <c r="K11" s="507"/>
    </row>
    <row r="12" spans="1:11" ht="16.5" thickBot="1">
      <c r="A12" s="800"/>
      <c r="B12" s="801"/>
      <c r="C12" s="801"/>
      <c r="D12" s="800"/>
      <c r="E12" s="800"/>
      <c r="F12" s="801"/>
      <c r="G12" s="800"/>
      <c r="H12" s="802"/>
      <c r="I12" s="802"/>
      <c r="J12" s="802"/>
      <c r="K12" s="802"/>
    </row>
    <row r="13" spans="1:11" ht="15.75">
      <c r="A13" s="803"/>
      <c r="B13" s="799"/>
      <c r="C13" s="799"/>
      <c r="D13" s="798"/>
      <c r="E13" s="798"/>
      <c r="F13" s="799"/>
      <c r="G13" s="798"/>
      <c r="H13" s="507"/>
      <c r="I13" s="507"/>
      <c r="J13" s="507"/>
      <c r="K13" s="507"/>
    </row>
    <row r="14" spans="1:11" ht="31.5">
      <c r="A14" s="804" t="s">
        <v>548</v>
      </c>
      <c r="B14" s="799"/>
      <c r="C14" s="799"/>
      <c r="D14" s="805" t="s">
        <v>549</v>
      </c>
      <c r="E14" s="798"/>
      <c r="F14" s="805" t="s">
        <v>550</v>
      </c>
      <c r="G14" s="806" t="s">
        <v>551</v>
      </c>
      <c r="H14" s="807" t="s">
        <v>552</v>
      </c>
      <c r="I14" s="805" t="s">
        <v>553</v>
      </c>
      <c r="J14" s="808"/>
      <c r="K14" s="805" t="s">
        <v>554</v>
      </c>
    </row>
    <row r="15" spans="1:11" ht="15.75">
      <c r="A15" s="804" t="s">
        <v>555</v>
      </c>
      <c r="B15" s="799"/>
      <c r="C15" s="799"/>
      <c r="D15" s="507"/>
      <c r="E15" s="809"/>
      <c r="F15" s="1392">
        <v>4.0949999999999997E-3</v>
      </c>
      <c r="G15" s="319"/>
      <c r="H15" s="507"/>
      <c r="I15" s="507"/>
      <c r="J15" s="507"/>
      <c r="K15" s="507"/>
    </row>
    <row r="16" spans="1:11" ht="15.75">
      <c r="A16" s="804"/>
      <c r="B16" s="799"/>
      <c r="C16" s="799"/>
      <c r="D16" s="507"/>
      <c r="E16" s="809"/>
      <c r="F16" s="809"/>
      <c r="G16" s="798"/>
      <c r="H16" s="507"/>
      <c r="I16" s="507"/>
      <c r="J16" s="507"/>
      <c r="K16" s="507"/>
    </row>
    <row r="17" spans="1:11" ht="15.75">
      <c r="A17" s="804" t="s">
        <v>1119</v>
      </c>
      <c r="B17" s="799"/>
      <c r="C17" s="799"/>
      <c r="D17" s="507"/>
      <c r="E17" s="809"/>
      <c r="F17" s="809"/>
      <c r="G17" s="798"/>
      <c r="H17" s="507"/>
      <c r="I17" s="507"/>
      <c r="J17" s="507"/>
      <c r="K17" s="507"/>
    </row>
    <row r="18" spans="1:11" ht="15.75">
      <c r="A18" s="810" t="s">
        <v>114</v>
      </c>
      <c r="B18" s="799"/>
      <c r="C18" s="799"/>
      <c r="D18" s="799"/>
      <c r="E18" s="799"/>
      <c r="F18" s="799" t="s">
        <v>114</v>
      </c>
      <c r="G18" s="507"/>
      <c r="H18" s="507"/>
      <c r="I18" s="507"/>
      <c r="J18" s="507"/>
      <c r="K18" s="507"/>
    </row>
    <row r="19" spans="1:11" ht="15.75">
      <c r="A19" s="811"/>
      <c r="B19" s="799"/>
      <c r="C19" s="799"/>
      <c r="D19" s="799"/>
      <c r="E19" s="799"/>
      <c r="F19" s="507"/>
      <c r="G19" s="507"/>
      <c r="H19" s="806"/>
      <c r="I19" s="799"/>
      <c r="J19" s="799"/>
      <c r="K19" s="799"/>
    </row>
    <row r="20" spans="1:11" ht="15.75">
      <c r="A20" s="811" t="s">
        <v>556</v>
      </c>
      <c r="B20" s="799"/>
      <c r="C20" s="799"/>
      <c r="D20" s="799"/>
      <c r="E20" s="799"/>
      <c r="F20" s="507"/>
      <c r="G20" s="507"/>
      <c r="H20" s="806" t="s">
        <v>557</v>
      </c>
      <c r="I20" s="799"/>
      <c r="J20" s="799"/>
      <c r="K20" s="799"/>
    </row>
    <row r="21" spans="1:11" ht="15.75">
      <c r="A21" s="788" t="s">
        <v>185</v>
      </c>
      <c r="B21" s="788" t="str">
        <f>"Year 2018"</f>
        <v>Year 2018</v>
      </c>
      <c r="C21" s="788"/>
      <c r="D21" s="812">
        <f>H10/12</f>
        <v>0</v>
      </c>
      <c r="E21" s="812"/>
      <c r="F21" s="813">
        <f>+F15</f>
        <v>4.0949999999999997E-3</v>
      </c>
      <c r="G21" s="814">
        <v>12</v>
      </c>
      <c r="H21" s="812">
        <f>F21*D21*G21*-1</f>
        <v>0</v>
      </c>
      <c r="I21" s="812"/>
      <c r="J21" s="812"/>
      <c r="K21" s="812">
        <f>(-H21+D21)*-1</f>
        <v>0</v>
      </c>
    </row>
    <row r="22" spans="1:11" ht="15.75">
      <c r="A22" s="788" t="s">
        <v>558</v>
      </c>
      <c r="B22" s="788" t="str">
        <f>B21</f>
        <v>Year 2018</v>
      </c>
      <c r="C22" s="788"/>
      <c r="D22" s="812">
        <f>+D21</f>
        <v>0</v>
      </c>
      <c r="E22" s="812"/>
      <c r="F22" s="813">
        <f>+F21</f>
        <v>4.0949999999999997E-3</v>
      </c>
      <c r="G22" s="814">
        <f t="shared" ref="G22:G32" si="0">+G21-1</f>
        <v>11</v>
      </c>
      <c r="H22" s="812">
        <f t="shared" ref="H22:H32" si="1">F22*D22*G22*-1</f>
        <v>0</v>
      </c>
      <c r="I22" s="812"/>
      <c r="J22" s="812"/>
      <c r="K22" s="812">
        <f t="shared" ref="K22:K32" si="2">(-H22+D22)*-1</f>
        <v>0</v>
      </c>
    </row>
    <row r="23" spans="1:11" ht="15.75">
      <c r="A23" s="788" t="s">
        <v>186</v>
      </c>
      <c r="B23" s="788" t="str">
        <f t="shared" ref="B23:B32" si="3">B22</f>
        <v>Year 2018</v>
      </c>
      <c r="C23" s="788"/>
      <c r="D23" s="812">
        <f t="shared" ref="D23:D32" si="4">+D22</f>
        <v>0</v>
      </c>
      <c r="E23" s="812"/>
      <c r="F23" s="813">
        <f t="shared" ref="F23:F32" si="5">+F22</f>
        <v>4.0949999999999997E-3</v>
      </c>
      <c r="G23" s="814">
        <f t="shared" si="0"/>
        <v>10</v>
      </c>
      <c r="H23" s="812">
        <f t="shared" si="1"/>
        <v>0</v>
      </c>
      <c r="I23" s="812"/>
      <c r="J23" s="812"/>
      <c r="K23" s="812">
        <f t="shared" si="2"/>
        <v>0</v>
      </c>
    </row>
    <row r="24" spans="1:11" ht="15.75">
      <c r="A24" s="788" t="s">
        <v>187</v>
      </c>
      <c r="B24" s="788" t="str">
        <f t="shared" si="3"/>
        <v>Year 2018</v>
      </c>
      <c r="C24" s="788"/>
      <c r="D24" s="812">
        <f t="shared" si="4"/>
        <v>0</v>
      </c>
      <c r="E24" s="812"/>
      <c r="F24" s="813">
        <f t="shared" si="5"/>
        <v>4.0949999999999997E-3</v>
      </c>
      <c r="G24" s="814">
        <f t="shared" si="0"/>
        <v>9</v>
      </c>
      <c r="H24" s="812">
        <f t="shared" si="1"/>
        <v>0</v>
      </c>
      <c r="I24" s="812"/>
      <c r="J24" s="812"/>
      <c r="K24" s="812">
        <f t="shared" si="2"/>
        <v>0</v>
      </c>
    </row>
    <row r="25" spans="1:11" ht="15.75">
      <c r="A25" s="788" t="s">
        <v>188</v>
      </c>
      <c r="B25" s="788" t="str">
        <f t="shared" si="3"/>
        <v>Year 2018</v>
      </c>
      <c r="C25" s="788"/>
      <c r="D25" s="812">
        <f t="shared" si="4"/>
        <v>0</v>
      </c>
      <c r="E25" s="812"/>
      <c r="F25" s="813">
        <f t="shared" si="5"/>
        <v>4.0949999999999997E-3</v>
      </c>
      <c r="G25" s="814">
        <f t="shared" si="0"/>
        <v>8</v>
      </c>
      <c r="H25" s="812">
        <f t="shared" si="1"/>
        <v>0</v>
      </c>
      <c r="I25" s="812"/>
      <c r="J25" s="812"/>
      <c r="K25" s="812">
        <f t="shared" si="2"/>
        <v>0</v>
      </c>
    </row>
    <row r="26" spans="1:11" ht="15.75">
      <c r="A26" s="788" t="s">
        <v>382</v>
      </c>
      <c r="B26" s="788" t="str">
        <f t="shared" si="3"/>
        <v>Year 2018</v>
      </c>
      <c r="C26" s="788"/>
      <c r="D26" s="812">
        <f t="shared" si="4"/>
        <v>0</v>
      </c>
      <c r="E26" s="812"/>
      <c r="F26" s="813">
        <f t="shared" si="5"/>
        <v>4.0949999999999997E-3</v>
      </c>
      <c r="G26" s="814">
        <f t="shared" si="0"/>
        <v>7</v>
      </c>
      <c r="H26" s="812">
        <f t="shared" si="1"/>
        <v>0</v>
      </c>
      <c r="I26" s="812"/>
      <c r="J26" s="812"/>
      <c r="K26" s="812">
        <f t="shared" si="2"/>
        <v>0</v>
      </c>
    </row>
    <row r="27" spans="1:11" ht="15.75">
      <c r="A27" s="788" t="s">
        <v>189</v>
      </c>
      <c r="B27" s="788" t="str">
        <f t="shared" si="3"/>
        <v>Year 2018</v>
      </c>
      <c r="C27" s="788"/>
      <c r="D27" s="812">
        <f t="shared" si="4"/>
        <v>0</v>
      </c>
      <c r="E27" s="812"/>
      <c r="F27" s="813">
        <f t="shared" si="5"/>
        <v>4.0949999999999997E-3</v>
      </c>
      <c r="G27" s="814">
        <f t="shared" si="0"/>
        <v>6</v>
      </c>
      <c r="H27" s="812">
        <f t="shared" si="1"/>
        <v>0</v>
      </c>
      <c r="I27" s="812"/>
      <c r="J27" s="812"/>
      <c r="K27" s="812">
        <f t="shared" si="2"/>
        <v>0</v>
      </c>
    </row>
    <row r="28" spans="1:11" ht="15.75">
      <c r="A28" s="788" t="s">
        <v>190</v>
      </c>
      <c r="B28" s="788" t="str">
        <f t="shared" si="3"/>
        <v>Year 2018</v>
      </c>
      <c r="C28" s="788"/>
      <c r="D28" s="812">
        <f t="shared" si="4"/>
        <v>0</v>
      </c>
      <c r="E28" s="812"/>
      <c r="F28" s="813">
        <f t="shared" si="5"/>
        <v>4.0949999999999997E-3</v>
      </c>
      <c r="G28" s="814">
        <f t="shared" si="0"/>
        <v>5</v>
      </c>
      <c r="H28" s="812">
        <f t="shared" si="1"/>
        <v>0</v>
      </c>
      <c r="I28" s="812"/>
      <c r="J28" s="812"/>
      <c r="K28" s="812">
        <f t="shared" si="2"/>
        <v>0</v>
      </c>
    </row>
    <row r="29" spans="1:11" ht="15.75">
      <c r="A29" s="788" t="s">
        <v>192</v>
      </c>
      <c r="B29" s="788" t="str">
        <f t="shared" si="3"/>
        <v>Year 2018</v>
      </c>
      <c r="C29" s="788"/>
      <c r="D29" s="812">
        <f t="shared" si="4"/>
        <v>0</v>
      </c>
      <c r="E29" s="812"/>
      <c r="F29" s="813">
        <f t="shared" si="5"/>
        <v>4.0949999999999997E-3</v>
      </c>
      <c r="G29" s="814">
        <f t="shared" si="0"/>
        <v>4</v>
      </c>
      <c r="H29" s="812">
        <f t="shared" si="1"/>
        <v>0</v>
      </c>
      <c r="I29" s="812"/>
      <c r="J29" s="812"/>
      <c r="K29" s="812">
        <f t="shared" si="2"/>
        <v>0</v>
      </c>
    </row>
    <row r="30" spans="1:11" ht="15.75">
      <c r="A30" s="788" t="s">
        <v>559</v>
      </c>
      <c r="B30" s="788" t="str">
        <f t="shared" si="3"/>
        <v>Year 2018</v>
      </c>
      <c r="C30" s="788"/>
      <c r="D30" s="812">
        <f t="shared" si="4"/>
        <v>0</v>
      </c>
      <c r="E30" s="812"/>
      <c r="F30" s="813">
        <f t="shared" si="5"/>
        <v>4.0949999999999997E-3</v>
      </c>
      <c r="G30" s="814">
        <f t="shared" si="0"/>
        <v>3</v>
      </c>
      <c r="H30" s="812">
        <f t="shared" si="1"/>
        <v>0</v>
      </c>
      <c r="I30" s="812"/>
      <c r="J30" s="812"/>
      <c r="K30" s="812">
        <f t="shared" si="2"/>
        <v>0</v>
      </c>
    </row>
    <row r="31" spans="1:11" ht="15.75">
      <c r="A31" s="788" t="s">
        <v>560</v>
      </c>
      <c r="B31" s="788" t="str">
        <f t="shared" si="3"/>
        <v>Year 2018</v>
      </c>
      <c r="C31" s="788"/>
      <c r="D31" s="812">
        <f t="shared" si="4"/>
        <v>0</v>
      </c>
      <c r="E31" s="812"/>
      <c r="F31" s="813">
        <f t="shared" si="5"/>
        <v>4.0949999999999997E-3</v>
      </c>
      <c r="G31" s="814">
        <f t="shared" si="0"/>
        <v>2</v>
      </c>
      <c r="H31" s="812">
        <f t="shared" si="1"/>
        <v>0</v>
      </c>
      <c r="I31" s="812"/>
      <c r="J31" s="812"/>
      <c r="K31" s="812">
        <f t="shared" si="2"/>
        <v>0</v>
      </c>
    </row>
    <row r="32" spans="1:11" ht="15.75">
      <c r="A32" s="788" t="s">
        <v>191</v>
      </c>
      <c r="B32" s="788" t="str">
        <f t="shared" si="3"/>
        <v>Year 2018</v>
      </c>
      <c r="C32" s="788"/>
      <c r="D32" s="812">
        <f t="shared" si="4"/>
        <v>0</v>
      </c>
      <c r="E32" s="812"/>
      <c r="F32" s="813">
        <f t="shared" si="5"/>
        <v>4.0949999999999997E-3</v>
      </c>
      <c r="G32" s="814">
        <f t="shared" si="0"/>
        <v>1</v>
      </c>
      <c r="H32" s="815">
        <f t="shared" si="1"/>
        <v>0</v>
      </c>
      <c r="I32" s="812"/>
      <c r="J32" s="812"/>
      <c r="K32" s="812">
        <f t="shared" si="2"/>
        <v>0</v>
      </c>
    </row>
    <row r="33" spans="1:11" ht="15.75">
      <c r="A33" s="788"/>
      <c r="B33" s="788"/>
      <c r="C33" s="788"/>
      <c r="D33" s="812"/>
      <c r="E33" s="812"/>
      <c r="F33" s="813"/>
      <c r="G33" s="788"/>
      <c r="H33" s="812">
        <f>SUM(H21:H32)</f>
        <v>0</v>
      </c>
      <c r="I33" s="812"/>
      <c r="J33" s="812"/>
      <c r="K33" s="816">
        <f>SUM(K21:K32)</f>
        <v>0</v>
      </c>
    </row>
    <row r="34" spans="1:11" ht="15.75">
      <c r="A34" s="788"/>
      <c r="B34" s="788"/>
      <c r="C34" s="788"/>
      <c r="D34" s="812"/>
      <c r="E34" s="812"/>
      <c r="F34" s="813"/>
      <c r="G34" s="788"/>
      <c r="H34" s="812"/>
      <c r="I34" s="812" t="s">
        <v>114</v>
      </c>
      <c r="J34" s="812"/>
      <c r="K34" s="507"/>
    </row>
    <row r="35" spans="1:11" ht="15.75">
      <c r="A35" s="788"/>
      <c r="B35" s="788"/>
      <c r="C35" s="788"/>
      <c r="D35" s="798"/>
      <c r="E35" s="798"/>
      <c r="F35" s="813"/>
      <c r="G35" s="788"/>
      <c r="H35" s="817" t="s">
        <v>561</v>
      </c>
      <c r="I35" s="812"/>
      <c r="J35" s="812"/>
      <c r="K35" s="812"/>
    </row>
    <row r="36" spans="1:11" ht="15.75">
      <c r="A36" s="788" t="s">
        <v>562</v>
      </c>
      <c r="B36" s="788" t="str">
        <f>"Year 2019"</f>
        <v>Year 2019</v>
      </c>
      <c r="C36" s="788"/>
      <c r="D36" s="798">
        <f>K33</f>
        <v>0</v>
      </c>
      <c r="E36" s="798"/>
      <c r="F36" s="813">
        <f>+F32</f>
        <v>4.0949999999999997E-3</v>
      </c>
      <c r="G36" s="814">
        <v>12</v>
      </c>
      <c r="H36" s="812">
        <f>+G36*F36*D36</f>
        <v>0</v>
      </c>
      <c r="I36" s="812"/>
      <c r="J36" s="812"/>
      <c r="K36" s="816">
        <f>+D36+H36</f>
        <v>0</v>
      </c>
    </row>
    <row r="37" spans="1:11" ht="15.75">
      <c r="A37" s="788"/>
      <c r="B37" s="788"/>
      <c r="C37" s="788"/>
      <c r="D37" s="798"/>
      <c r="E37" s="798"/>
      <c r="F37" s="813"/>
      <c r="G37" s="788"/>
      <c r="H37" s="812"/>
      <c r="I37" s="812"/>
      <c r="J37" s="812"/>
      <c r="K37" s="812"/>
    </row>
    <row r="38" spans="1:11" ht="15.75">
      <c r="A38" s="818" t="s">
        <v>563</v>
      </c>
      <c r="B38" s="788"/>
      <c r="C38" s="788"/>
      <c r="D38" s="812"/>
      <c r="E38" s="812"/>
      <c r="F38" s="813"/>
      <c r="G38" s="788"/>
      <c r="H38" s="817" t="s">
        <v>557</v>
      </c>
      <c r="I38" s="812"/>
      <c r="J38" s="812"/>
      <c r="K38" s="812"/>
    </row>
    <row r="39" spans="1:11" ht="15.75">
      <c r="A39" s="788" t="s">
        <v>185</v>
      </c>
      <c r="B39" s="788" t="str">
        <f>"Year 2020"</f>
        <v>Year 2020</v>
      </c>
      <c r="C39" s="788"/>
      <c r="D39" s="819">
        <f>-K36</f>
        <v>0</v>
      </c>
      <c r="E39" s="798"/>
      <c r="F39" s="813">
        <f>+F32</f>
        <v>4.0949999999999997E-3</v>
      </c>
      <c r="G39" s="788"/>
      <c r="H39" s="812">
        <f xml:space="preserve"> -F39*D39</f>
        <v>0</v>
      </c>
      <c r="I39" s="812">
        <f>PMT(F39,12,K$36)</f>
        <v>0</v>
      </c>
      <c r="J39" s="812"/>
      <c r="K39" s="812">
        <f>(+D39+D39*F39-I39)*-1</f>
        <v>0</v>
      </c>
    </row>
    <row r="40" spans="1:11" ht="15.75">
      <c r="A40" s="788" t="s">
        <v>558</v>
      </c>
      <c r="B40" s="788" t="str">
        <f>+B39</f>
        <v>Year 2020</v>
      </c>
      <c r="C40" s="788"/>
      <c r="D40" s="798">
        <f>-K39</f>
        <v>0</v>
      </c>
      <c r="E40" s="798"/>
      <c r="F40" s="813">
        <f>+F39</f>
        <v>4.0949999999999997E-3</v>
      </c>
      <c r="G40" s="788"/>
      <c r="H40" s="812">
        <f xml:space="preserve"> -F40*D40</f>
        <v>0</v>
      </c>
      <c r="I40" s="812">
        <f>I39</f>
        <v>0</v>
      </c>
      <c r="J40" s="812"/>
      <c r="K40" s="812">
        <f t="shared" ref="K40:K50" si="6">(+D40+D40*F40-I40)*-1</f>
        <v>0</v>
      </c>
    </row>
    <row r="41" spans="1:11" ht="15.75">
      <c r="A41" s="788" t="s">
        <v>186</v>
      </c>
      <c r="B41" s="788" t="str">
        <f>+B40</f>
        <v>Year 2020</v>
      </c>
      <c r="C41" s="788"/>
      <c r="D41" s="798">
        <f t="shared" ref="D41:D50" si="7">-K40</f>
        <v>0</v>
      </c>
      <c r="E41" s="798"/>
      <c r="F41" s="813">
        <f t="shared" ref="F41:F50" si="8">+F40</f>
        <v>4.0949999999999997E-3</v>
      </c>
      <c r="G41" s="788"/>
      <c r="H41" s="812">
        <f t="shared" ref="H41:H50" si="9" xml:space="preserve"> -F41*D41</f>
        <v>0</v>
      </c>
      <c r="I41" s="812">
        <f t="shared" ref="I41:I50" si="10">I40</f>
        <v>0</v>
      </c>
      <c r="J41" s="812"/>
      <c r="K41" s="812">
        <f t="shared" si="6"/>
        <v>0</v>
      </c>
    </row>
    <row r="42" spans="1:11" ht="15.75">
      <c r="A42" s="788" t="s">
        <v>187</v>
      </c>
      <c r="B42" s="788" t="str">
        <f>+B41</f>
        <v>Year 2020</v>
      </c>
      <c r="C42" s="788"/>
      <c r="D42" s="798">
        <f t="shared" si="7"/>
        <v>0</v>
      </c>
      <c r="E42" s="798"/>
      <c r="F42" s="813">
        <f t="shared" si="8"/>
        <v>4.0949999999999997E-3</v>
      </c>
      <c r="G42" s="788"/>
      <c r="H42" s="812">
        <f t="shared" si="9"/>
        <v>0</v>
      </c>
      <c r="I42" s="812">
        <f t="shared" si="10"/>
        <v>0</v>
      </c>
      <c r="J42" s="812"/>
      <c r="K42" s="812">
        <f t="shared" si="6"/>
        <v>0</v>
      </c>
    </row>
    <row r="43" spans="1:11" ht="15.75">
      <c r="A43" s="788" t="s">
        <v>188</v>
      </c>
      <c r="B43" s="788" t="str">
        <f>+B42</f>
        <v>Year 2020</v>
      </c>
      <c r="C43" s="788"/>
      <c r="D43" s="798">
        <f t="shared" si="7"/>
        <v>0</v>
      </c>
      <c r="E43" s="798"/>
      <c r="F43" s="813">
        <f t="shared" si="8"/>
        <v>4.0949999999999997E-3</v>
      </c>
      <c r="G43" s="788"/>
      <c r="H43" s="812">
        <f t="shared" si="9"/>
        <v>0</v>
      </c>
      <c r="I43" s="812">
        <f>I42</f>
        <v>0</v>
      </c>
      <c r="J43" s="812"/>
      <c r="K43" s="812">
        <f t="shared" si="6"/>
        <v>0</v>
      </c>
    </row>
    <row r="44" spans="1:11" ht="15.75">
      <c r="A44" s="788" t="s">
        <v>382</v>
      </c>
      <c r="B44" s="788" t="str">
        <f>B43</f>
        <v>Year 2020</v>
      </c>
      <c r="C44" s="507"/>
      <c r="D44" s="798">
        <f t="shared" si="7"/>
        <v>0</v>
      </c>
      <c r="E44" s="798"/>
      <c r="F44" s="813">
        <f t="shared" si="8"/>
        <v>4.0949999999999997E-3</v>
      </c>
      <c r="G44" s="788"/>
      <c r="H44" s="812">
        <f t="shared" si="9"/>
        <v>0</v>
      </c>
      <c r="I44" s="812">
        <f t="shared" si="10"/>
        <v>0</v>
      </c>
      <c r="J44" s="812"/>
      <c r="K44" s="812">
        <f t="shared" si="6"/>
        <v>0</v>
      </c>
    </row>
    <row r="45" spans="1:11" ht="15.75">
      <c r="A45" s="788" t="s">
        <v>189</v>
      </c>
      <c r="B45" s="788" t="str">
        <f t="shared" ref="B45:B50" si="11">+B44</f>
        <v>Year 2020</v>
      </c>
      <c r="C45" s="788"/>
      <c r="D45" s="798">
        <f t="shared" si="7"/>
        <v>0</v>
      </c>
      <c r="E45" s="798"/>
      <c r="F45" s="813">
        <f t="shared" si="8"/>
        <v>4.0949999999999997E-3</v>
      </c>
      <c r="G45" s="788"/>
      <c r="H45" s="812">
        <f t="shared" si="9"/>
        <v>0</v>
      </c>
      <c r="I45" s="812">
        <f t="shared" si="10"/>
        <v>0</v>
      </c>
      <c r="J45" s="812"/>
      <c r="K45" s="812">
        <f t="shared" si="6"/>
        <v>0</v>
      </c>
    </row>
    <row r="46" spans="1:11" ht="15.75">
      <c r="A46" s="788" t="s">
        <v>190</v>
      </c>
      <c r="B46" s="788" t="str">
        <f t="shared" si="11"/>
        <v>Year 2020</v>
      </c>
      <c r="C46" s="788"/>
      <c r="D46" s="798">
        <f t="shared" si="7"/>
        <v>0</v>
      </c>
      <c r="E46" s="798"/>
      <c r="F46" s="813">
        <f t="shared" si="8"/>
        <v>4.0949999999999997E-3</v>
      </c>
      <c r="G46" s="788"/>
      <c r="H46" s="812">
        <f t="shared" si="9"/>
        <v>0</v>
      </c>
      <c r="I46" s="812">
        <f t="shared" si="10"/>
        <v>0</v>
      </c>
      <c r="J46" s="812"/>
      <c r="K46" s="812">
        <f t="shared" si="6"/>
        <v>0</v>
      </c>
    </row>
    <row r="47" spans="1:11" ht="15.75">
      <c r="A47" s="788" t="s">
        <v>192</v>
      </c>
      <c r="B47" s="788" t="str">
        <f t="shared" si="11"/>
        <v>Year 2020</v>
      </c>
      <c r="C47" s="788"/>
      <c r="D47" s="798">
        <f t="shared" si="7"/>
        <v>0</v>
      </c>
      <c r="E47" s="798"/>
      <c r="F47" s="813">
        <f t="shared" si="8"/>
        <v>4.0949999999999997E-3</v>
      </c>
      <c r="G47" s="788"/>
      <c r="H47" s="812">
        <f t="shared" si="9"/>
        <v>0</v>
      </c>
      <c r="I47" s="812">
        <f>I46</f>
        <v>0</v>
      </c>
      <c r="J47" s="812"/>
      <c r="K47" s="812">
        <f t="shared" si="6"/>
        <v>0</v>
      </c>
    </row>
    <row r="48" spans="1:11" ht="15.75">
      <c r="A48" s="788" t="s">
        <v>559</v>
      </c>
      <c r="B48" s="788" t="str">
        <f t="shared" si="11"/>
        <v>Year 2020</v>
      </c>
      <c r="C48" s="788"/>
      <c r="D48" s="798">
        <f t="shared" si="7"/>
        <v>0</v>
      </c>
      <c r="E48" s="798"/>
      <c r="F48" s="813">
        <f t="shared" si="8"/>
        <v>4.0949999999999997E-3</v>
      </c>
      <c r="G48" s="788"/>
      <c r="H48" s="812">
        <f t="shared" si="9"/>
        <v>0</v>
      </c>
      <c r="I48" s="812">
        <f t="shared" si="10"/>
        <v>0</v>
      </c>
      <c r="J48" s="812"/>
      <c r="K48" s="812">
        <f t="shared" si="6"/>
        <v>0</v>
      </c>
    </row>
    <row r="49" spans="1:11" ht="15.75">
      <c r="A49" s="788" t="s">
        <v>560</v>
      </c>
      <c r="B49" s="788" t="str">
        <f t="shared" si="11"/>
        <v>Year 2020</v>
      </c>
      <c r="C49" s="788"/>
      <c r="D49" s="798">
        <f t="shared" si="7"/>
        <v>0</v>
      </c>
      <c r="E49" s="798"/>
      <c r="F49" s="813">
        <f t="shared" si="8"/>
        <v>4.0949999999999997E-3</v>
      </c>
      <c r="G49" s="788"/>
      <c r="H49" s="812">
        <f t="shared" si="9"/>
        <v>0</v>
      </c>
      <c r="I49" s="812">
        <f t="shared" si="10"/>
        <v>0</v>
      </c>
      <c r="J49" s="812"/>
      <c r="K49" s="812">
        <f t="shared" si="6"/>
        <v>0</v>
      </c>
    </row>
    <row r="50" spans="1:11" ht="15.75">
      <c r="A50" s="788" t="s">
        <v>191</v>
      </c>
      <c r="B50" s="788" t="str">
        <f t="shared" si="11"/>
        <v>Year 2020</v>
      </c>
      <c r="C50" s="788"/>
      <c r="D50" s="798">
        <f t="shared" si="7"/>
        <v>0</v>
      </c>
      <c r="E50" s="798"/>
      <c r="F50" s="813">
        <f t="shared" si="8"/>
        <v>4.0949999999999997E-3</v>
      </c>
      <c r="G50" s="788"/>
      <c r="H50" s="815">
        <f t="shared" si="9"/>
        <v>0</v>
      </c>
      <c r="I50" s="812">
        <f t="shared" si="10"/>
        <v>0</v>
      </c>
      <c r="J50" s="812"/>
      <c r="K50" s="812">
        <f t="shared" si="6"/>
        <v>0</v>
      </c>
    </row>
    <row r="51" spans="1:11" ht="15.75">
      <c r="A51" s="788"/>
      <c r="B51" s="788"/>
      <c r="C51" s="788"/>
      <c r="D51" s="798"/>
      <c r="E51" s="798"/>
      <c r="F51" s="813"/>
      <c r="G51" s="788"/>
      <c r="H51" s="812">
        <f>SUM(H39:H50)</f>
        <v>0</v>
      </c>
      <c r="I51" s="812"/>
      <c r="J51" s="812"/>
      <c r="K51" s="812"/>
    </row>
    <row r="52" spans="1:11" ht="15">
      <c r="A52" s="507"/>
      <c r="B52" s="507"/>
      <c r="C52" s="507"/>
      <c r="D52" s="507"/>
      <c r="E52" s="507"/>
      <c r="F52" s="507"/>
      <c r="G52" s="507"/>
      <c r="H52" s="507"/>
      <c r="I52" s="820"/>
      <c r="J52" s="507"/>
      <c r="K52" s="507"/>
    </row>
    <row r="53" spans="1:11" ht="15.75">
      <c r="A53" s="788" t="s">
        <v>568</v>
      </c>
      <c r="B53" s="507"/>
      <c r="C53" s="507"/>
      <c r="D53" s="507"/>
      <c r="E53" s="507"/>
      <c r="F53" s="507"/>
      <c r="G53" s="507"/>
      <c r="H53" s="507"/>
      <c r="I53" s="821">
        <f>(SUM(I39:I50)*-1)</f>
        <v>0</v>
      </c>
      <c r="J53" s="507"/>
      <c r="K53" s="507"/>
    </row>
    <row r="54" spans="1:11" ht="15.75">
      <c r="A54" s="788" t="s">
        <v>564</v>
      </c>
      <c r="B54" s="507"/>
      <c r="C54" s="507"/>
      <c r="D54" s="507"/>
      <c r="E54" s="507"/>
      <c r="F54" s="507"/>
      <c r="G54" s="507"/>
      <c r="H54" s="507"/>
      <c r="I54" s="822">
        <f>+H10</f>
        <v>0</v>
      </c>
      <c r="J54" s="507"/>
      <c r="K54" s="507"/>
    </row>
    <row r="55" spans="1:11" ht="15.75">
      <c r="A55" s="788" t="s">
        <v>565</v>
      </c>
      <c r="B55" s="507"/>
      <c r="C55" s="507"/>
      <c r="D55" s="507"/>
      <c r="E55" s="507"/>
      <c r="F55" s="507"/>
      <c r="G55" s="507"/>
      <c r="H55" s="507"/>
      <c r="I55" s="821">
        <f>(I53+I54)</f>
        <v>0</v>
      </c>
      <c r="J55" s="507"/>
      <c r="K55" s="507"/>
    </row>
    <row r="56" spans="1:11">
      <c r="A56" s="401"/>
      <c r="B56" s="401"/>
      <c r="C56" s="401"/>
      <c r="D56" s="401"/>
      <c r="E56" s="401"/>
      <c r="F56" s="401"/>
      <c r="G56" s="401"/>
      <c r="H56" s="401"/>
      <c r="I56" s="401"/>
      <c r="J56" s="401"/>
      <c r="K56" s="401"/>
    </row>
    <row r="57" spans="1:11" ht="96" customHeight="1">
      <c r="A57" s="1663" t="s">
        <v>569</v>
      </c>
      <c r="B57" s="1663"/>
      <c r="C57" s="1663"/>
      <c r="D57" s="1663"/>
      <c r="E57" s="823"/>
      <c r="F57" s="823"/>
      <c r="G57" s="823"/>
      <c r="H57" s="823"/>
      <c r="I57" s="823"/>
      <c r="J57" s="823"/>
      <c r="K57" s="823"/>
    </row>
  </sheetData>
  <mergeCells count="5">
    <mergeCell ref="A1:K1"/>
    <mergeCell ref="A2:K2"/>
    <mergeCell ref="A3:K3"/>
    <mergeCell ref="D4:G4"/>
    <mergeCell ref="A57:D57"/>
  </mergeCells>
  <pageMargins left="0.7" right="0.7" top="0.75" bottom="0.75" header="0.3" footer="0.3"/>
  <pageSetup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Q118"/>
  <sheetViews>
    <sheetView view="pageBreakPreview" topLeftCell="A16" zoomScaleNormal="75" zoomScaleSheetLayoutView="100" workbookViewId="0">
      <selection activeCell="D59" sqref="D59"/>
    </sheetView>
  </sheetViews>
  <sheetFormatPr defaultColWidth="9.140625" defaultRowHeight="12.75"/>
  <cols>
    <col min="1" max="1" width="9.140625" style="29"/>
    <col min="2" max="2" width="0.85546875" style="33" customWidth="1"/>
    <col min="3" max="3" width="41.5703125" style="29" customWidth="1"/>
    <col min="4" max="4" width="34.42578125" style="29" bestFit="1" customWidth="1"/>
    <col min="5" max="5" width="23.140625" style="29" customWidth="1"/>
    <col min="6" max="6" width="3.140625" style="29" customWidth="1"/>
    <col min="7" max="7" width="24.5703125" style="29" customWidth="1"/>
    <col min="8" max="8" width="2.85546875" style="29" customWidth="1"/>
    <col min="9" max="9" width="20.85546875" style="29" customWidth="1"/>
    <col min="10" max="10" width="4.5703125" style="29" customWidth="1"/>
    <col min="11" max="11" width="18" style="29" bestFit="1" customWidth="1"/>
    <col min="12" max="12" width="20.42578125" style="29" customWidth="1"/>
    <col min="13" max="15" width="9.140625" style="29"/>
    <col min="16" max="16" width="10" style="29" bestFit="1" customWidth="1"/>
    <col min="17" max="17" width="17.5703125" style="29" customWidth="1"/>
    <col min="18" max="18" width="15.5703125" style="29" bestFit="1" customWidth="1"/>
    <col min="19" max="16384" width="9.140625" style="29"/>
  </cols>
  <sheetData>
    <row r="1" spans="1:15" ht="15.75">
      <c r="A1" s="881" t="s">
        <v>114</v>
      </c>
    </row>
    <row r="2" spans="1:15" ht="15.75">
      <c r="A2" s="881" t="s">
        <v>114</v>
      </c>
    </row>
    <row r="3" spans="1:15" ht="15">
      <c r="A3" s="1553" t="s">
        <v>387</v>
      </c>
      <c r="B3" s="1553"/>
      <c r="C3" s="1553"/>
      <c r="D3" s="1553"/>
      <c r="E3" s="1553"/>
      <c r="F3" s="1553"/>
      <c r="G3" s="1553"/>
      <c r="H3" s="1553"/>
      <c r="I3" s="1553"/>
      <c r="J3" s="37"/>
      <c r="K3" s="37"/>
    </row>
    <row r="4" spans="1:15" ht="15">
      <c r="A4" s="1554" t="str">
        <f>"Cost of Service Formula Rate Using Actual/Projected FF1 Balances"</f>
        <v>Cost of Service Formula Rate Using Actual/Projected FF1 Balances</v>
      </c>
      <c r="B4" s="1554"/>
      <c r="C4" s="1554"/>
      <c r="D4" s="1554"/>
      <c r="E4" s="1554"/>
      <c r="F4" s="1554"/>
      <c r="G4" s="1554"/>
      <c r="H4" s="1554"/>
      <c r="I4" s="1554"/>
      <c r="J4" s="93"/>
      <c r="K4" s="93"/>
    </row>
    <row r="5" spans="1:15" ht="15">
      <c r="A5" s="1554" t="s">
        <v>470</v>
      </c>
      <c r="B5" s="1554"/>
      <c r="C5" s="1554"/>
      <c r="D5" s="1554"/>
      <c r="E5" s="1554"/>
      <c r="F5" s="1554"/>
      <c r="G5" s="1554"/>
      <c r="H5" s="1554"/>
      <c r="I5" s="1554"/>
      <c r="J5" s="92"/>
      <c r="K5" s="92"/>
    </row>
    <row r="6" spans="1:15" ht="15">
      <c r="A6" s="1565" t="str">
        <f>TCOS!F9</f>
        <v>WHEELING POWER COMPANY</v>
      </c>
      <c r="B6" s="1565"/>
      <c r="C6" s="1565"/>
      <c r="D6" s="1565"/>
      <c r="E6" s="1565"/>
      <c r="F6" s="1565"/>
      <c r="G6" s="1565"/>
      <c r="H6" s="1565"/>
      <c r="I6" s="1565"/>
      <c r="J6" s="3"/>
      <c r="K6" s="3"/>
      <c r="L6"/>
      <c r="M6"/>
    </row>
    <row r="7" spans="1:15">
      <c r="C7" s="31"/>
      <c r="D7" s="31"/>
    </row>
    <row r="8" spans="1:15">
      <c r="C8" s="7" t="s">
        <v>162</v>
      </c>
      <c r="D8" s="7" t="s">
        <v>163</v>
      </c>
      <c r="E8" s="7" t="s">
        <v>164</v>
      </c>
      <c r="G8" s="7" t="s">
        <v>165</v>
      </c>
      <c r="I8" s="7" t="s">
        <v>84</v>
      </c>
      <c r="J8" s="7"/>
      <c r="K8" s="7"/>
      <c r="L8" s="7"/>
      <c r="M8"/>
      <c r="N8"/>
      <c r="O8"/>
    </row>
    <row r="9" spans="1:15">
      <c r="A9" s="91"/>
      <c r="I9" s="13"/>
      <c r="J9"/>
      <c r="K9"/>
      <c r="L9"/>
      <c r="M9"/>
      <c r="N9"/>
      <c r="O9"/>
    </row>
    <row r="10" spans="1:15" ht="12.75" customHeight="1">
      <c r="A10" s="11" t="s">
        <v>169</v>
      </c>
      <c r="C10" s="32"/>
      <c r="D10" s="32"/>
      <c r="E10" s="1563" t="str">
        <f>"Balance @ December 31, "&amp;TCOS!L4&amp;""</f>
        <v>Balance @ December 31, 2022</v>
      </c>
      <c r="F10" s="132"/>
      <c r="G10" s="1563" t="str">
        <f>"Balance @ December 31, "&amp;TCOS!L4-1&amp;""</f>
        <v>Balance @ December 31, 2021</v>
      </c>
      <c r="H10" s="132"/>
      <c r="I10" s="1566" t="str">
        <f>"Average Balance for "&amp;TCOS!L4&amp;""</f>
        <v>Average Balance for 2022</v>
      </c>
      <c r="J10"/>
      <c r="K10"/>
      <c r="L10"/>
      <c r="M10"/>
      <c r="N10"/>
      <c r="O10"/>
    </row>
    <row r="11" spans="1:15">
      <c r="A11" s="11" t="s">
        <v>106</v>
      </c>
      <c r="B11" s="10"/>
      <c r="C11" s="11" t="s">
        <v>167</v>
      </c>
      <c r="D11" s="11" t="s">
        <v>206</v>
      </c>
      <c r="E11" s="1564"/>
      <c r="F11" s="83"/>
      <c r="G11" s="1564"/>
      <c r="H11" s="214"/>
      <c r="I11" s="1564"/>
      <c r="J11"/>
      <c r="K11"/>
      <c r="L11"/>
      <c r="M11"/>
      <c r="N11"/>
      <c r="O11"/>
    </row>
    <row r="12" spans="1:15">
      <c r="A12" s="91"/>
      <c r="C12" s="31"/>
      <c r="D12" s="31"/>
      <c r="G12" s="226"/>
      <c r="J12" s="23"/>
      <c r="K12" s="23"/>
    </row>
    <row r="13" spans="1:15">
      <c r="A13" s="91"/>
      <c r="C13" s="31"/>
      <c r="D13" s="31"/>
      <c r="J13" s="23"/>
      <c r="K13" s="23"/>
    </row>
    <row r="14" spans="1:15">
      <c r="A14" s="91"/>
      <c r="C14" s="31"/>
      <c r="D14" s="31"/>
      <c r="J14" s="23"/>
      <c r="K14" s="23"/>
    </row>
    <row r="15" spans="1:15" ht="15.75">
      <c r="A15" s="91">
        <v>1</v>
      </c>
      <c r="C15" s="55" t="s">
        <v>508</v>
      </c>
      <c r="D15" s="55"/>
      <c r="J15" s="23"/>
      <c r="K15" s="23"/>
    </row>
    <row r="16" spans="1:15" ht="15.75">
      <c r="A16" s="91"/>
      <c r="C16" s="55"/>
      <c r="D16" s="55"/>
      <c r="H16"/>
      <c r="J16" s="23"/>
      <c r="K16" s="23"/>
    </row>
    <row r="17" spans="1:17">
      <c r="A17" s="91">
        <f>+A15+1</f>
        <v>2</v>
      </c>
      <c r="C17" s="57" t="s">
        <v>514</v>
      </c>
      <c r="D17" s="82" t="s">
        <v>516</v>
      </c>
      <c r="E17" s="834">
        <f>SUM('WS B-1 - Actual Stmt. AF'!Q23:S23)</f>
        <v>43948328.760000005</v>
      </c>
      <c r="G17" s="876">
        <f>SUM('WS B-1 - Actual Stmt. AF'!M23:O23)</f>
        <v>46200830.270000003</v>
      </c>
      <c r="H17"/>
      <c r="I17" s="128">
        <f>IF(G17="",0,(E17+G17)/2)</f>
        <v>45074579.515000001</v>
      </c>
      <c r="J17" s="23"/>
      <c r="K17" s="23"/>
    </row>
    <row r="18" spans="1:17">
      <c r="A18" s="91">
        <f>+A17+1</f>
        <v>3</v>
      </c>
      <c r="C18" s="57" t="s">
        <v>518</v>
      </c>
      <c r="D18" s="293" t="str">
        <f>"WS B-1 - Actual Stmt. AF Ln. " &amp;'WS B-1 - Actual Stmt. AF'!A24&amp;" (Note 1)"</f>
        <v>WS B-1 - Actual Stmt. AF Ln. 4 (Note 1)</v>
      </c>
      <c r="E18" s="834">
        <f>SUM('WS B-1 - Actual Stmt. AF'!Q24:S24)</f>
        <v>0</v>
      </c>
      <c r="G18" s="878">
        <f>SUM('WS B-1 - Actual Stmt. AF'!M24:O24)</f>
        <v>0</v>
      </c>
      <c r="H18"/>
      <c r="I18" s="128">
        <f>IF(G18="",0,(E18+G18)/2)</f>
        <v>0</v>
      </c>
      <c r="J18" s="23"/>
      <c r="K18" s="23"/>
    </row>
    <row r="19" spans="1:17" ht="15">
      <c r="A19" s="91">
        <f>+A18+1</f>
        <v>4</v>
      </c>
      <c r="C19" s="57" t="s">
        <v>519</v>
      </c>
      <c r="D19" s="293" t="str">
        <f>"WS B-1 - Actual Stmt. AF Ln. " &amp;'WS B-1 - Actual Stmt. AF'!A23&amp;" (Note 1)"</f>
        <v>WS B-1 - Actual Stmt. AF Ln. 3 (Note 1)</v>
      </c>
      <c r="E19" s="835">
        <f>SUM('WS B-1 - Actual Stmt. AF'!Q23:S23)-SUM('WS B-1 - Actual Stmt. AF'!Q24:S24)</f>
        <v>43948328.760000005</v>
      </c>
      <c r="G19" s="877">
        <f>SUM('WS B-1 - Actual Stmt. AF'!M23:O23)-SUM('WS B-1 - Actual Stmt. AF'!M24:O24)</f>
        <v>46200830.270000003</v>
      </c>
      <c r="I19" s="198">
        <f>IF(G19="",0,(E19+G19)/2)</f>
        <v>45074579.515000001</v>
      </c>
      <c r="J19" s="23"/>
      <c r="K19" s="23"/>
    </row>
    <row r="20" spans="1:17">
      <c r="A20" s="91">
        <f>+A19+1</f>
        <v>5</v>
      </c>
      <c r="C20" s="57" t="s">
        <v>515</v>
      </c>
      <c r="D20" s="133" t="str">
        <f>"Ln "&amp;A17&amp;" - ln "&amp;A18&amp;" - ln "&amp;A19&amp;""</f>
        <v>Ln 2 - ln 3 - ln 4</v>
      </c>
      <c r="E20" s="24">
        <f>+E17-E18-E19</f>
        <v>0</v>
      </c>
      <c r="G20" s="24">
        <f>+G17-G18-G19</f>
        <v>0</v>
      </c>
      <c r="I20" s="128">
        <f>+I17-I18-I19</f>
        <v>0</v>
      </c>
      <c r="J20" s="23"/>
      <c r="K20" s="23"/>
    </row>
    <row r="21" spans="1:17">
      <c r="A21" s="91"/>
      <c r="C21" s="57"/>
      <c r="D21" s="133"/>
      <c r="J21" s="23"/>
      <c r="K21" s="23"/>
    </row>
    <row r="22" spans="1:17">
      <c r="A22" s="91"/>
      <c r="C22" s="57"/>
      <c r="D22" s="133"/>
      <c r="J22" s="23"/>
      <c r="K22" s="24"/>
      <c r="L22" s="24"/>
      <c r="M22" s="24"/>
      <c r="N22" s="24"/>
      <c r="O22" s="24"/>
    </row>
    <row r="23" spans="1:17" ht="15.75">
      <c r="A23" s="91">
        <f>+A20+1</f>
        <v>6</v>
      </c>
      <c r="C23" s="55" t="s">
        <v>509</v>
      </c>
      <c r="D23" s="133"/>
      <c r="J23" s="23"/>
      <c r="K23" s="24"/>
      <c r="L23" s="24"/>
      <c r="M23" s="24"/>
      <c r="N23" s="24"/>
      <c r="O23" s="24"/>
    </row>
    <row r="24" spans="1:17">
      <c r="A24" s="91"/>
      <c r="C24" s="57"/>
      <c r="D24" s="133"/>
      <c r="J24" s="23"/>
      <c r="K24" s="24"/>
      <c r="L24" s="24"/>
      <c r="M24" s="24"/>
      <c r="N24" s="24"/>
      <c r="O24" s="24"/>
    </row>
    <row r="25" spans="1:17">
      <c r="A25" s="91">
        <f>+A23+1</f>
        <v>7</v>
      </c>
      <c r="C25" s="57" t="s">
        <v>514</v>
      </c>
      <c r="D25" s="82" t="s">
        <v>448</v>
      </c>
      <c r="E25" s="834">
        <f>SUM('WS B-1 - Actual Stmt. AF'!Q60:S60)-'WS B-1 - Actual Stmt. AF'!D52</f>
        <v>137754894.22999999</v>
      </c>
      <c r="G25" s="878">
        <f>SUM('WS B-1 - Actual Stmt. AF'!M60:O60)-'WS B-1 - Actual Stmt. AF'!C52</f>
        <v>134234372.18000001</v>
      </c>
      <c r="H25"/>
      <c r="I25" s="128">
        <f>IF(G25="",0,(E25+G25)/2)</f>
        <v>135994633.20499998</v>
      </c>
      <c r="J25" s="23"/>
      <c r="K25" s="24"/>
      <c r="L25" s="24"/>
      <c r="M25" s="24"/>
      <c r="N25" s="24"/>
      <c r="O25" s="24"/>
    </row>
    <row r="26" spans="1:17">
      <c r="A26" s="91">
        <f>+A25+1</f>
        <v>8</v>
      </c>
      <c r="C26" s="57" t="s">
        <v>518</v>
      </c>
      <c r="D26" s="293" t="str">
        <f>"WS B-1 - Actual Stmt. AF Ln. " &amp;'WS B-1 - Actual Stmt. AF'!A61&amp;" (Note 1)"</f>
        <v>WS B-1 - Actual Stmt. AF Ln. 7 (Note 1)</v>
      </c>
      <c r="E26" s="834">
        <f>SUM('WS B-1 - Actual Stmt. AF'!Q61:S61)</f>
        <v>751468.38000000012</v>
      </c>
      <c r="G26" s="878">
        <f>SUM('WS B-1 - Actual Stmt. AF'!M61:O61)</f>
        <v>913930.57</v>
      </c>
      <c r="H26"/>
      <c r="I26" s="128">
        <f>IF(G26="",0,(E26+G26)/2)</f>
        <v>832699.47500000009</v>
      </c>
      <c r="J26" s="23"/>
      <c r="K26" s="24"/>
      <c r="L26" s="24"/>
      <c r="M26" s="24"/>
      <c r="N26" s="24"/>
      <c r="O26" s="24"/>
    </row>
    <row r="27" spans="1:17" ht="15">
      <c r="A27" s="91">
        <f>+A26+1</f>
        <v>9</v>
      </c>
      <c r="C27" s="57" t="s">
        <v>519</v>
      </c>
      <c r="D27" s="293" t="str">
        <f>"WS B-1 - Actual Stmt. AF Ln. " &amp;'WS B-1 - Actual Stmt. AF'!A60&amp;" (Note 1)"</f>
        <v>WS B-1 - Actual Stmt. AF Ln. 6 (Note 1)</v>
      </c>
      <c r="E27" s="835">
        <f>('WS B-1 - Actual Stmt. AF'!Q60+'WS B-1 - Actual Stmt. AF'!S60)-('WS B-1 - Actual Stmt. AF'!Q61+'WS B-1 - Actual Stmt. AF'!S61)-'WS B-1 - Actual Stmt. AF'!D52</f>
        <v>108834060.58</v>
      </c>
      <c r="G27" s="879">
        <f>('WS B-1 - Actual Stmt. AF'!M60+'WS B-1 - Actual Stmt. AF'!O60)-('WS B-1 - Actual Stmt. AF'!M61+'WS B-1 - Actual Stmt. AF'!O61)-'WS B-1 - Actual Stmt. AF'!C52</f>
        <v>105052092.8</v>
      </c>
      <c r="I27" s="198">
        <f>IF(G27="",0,(E27+G27)/2)</f>
        <v>106943076.69</v>
      </c>
      <c r="J27" s="23"/>
      <c r="K27" s="24"/>
      <c r="L27" s="24"/>
      <c r="M27" s="24"/>
      <c r="N27" s="24"/>
      <c r="O27" s="24"/>
    </row>
    <row r="28" spans="1:17">
      <c r="A28" s="91">
        <f>+A27+1</f>
        <v>10</v>
      </c>
      <c r="C28" s="57" t="s">
        <v>515</v>
      </c>
      <c r="D28" s="133" t="str">
        <f>"Ln "&amp;A25&amp;" - ln "&amp;A26&amp;" - ln "&amp;A27&amp;""</f>
        <v>Ln 7 - ln 8 - ln 9</v>
      </c>
      <c r="E28" s="24">
        <f>+E25-E26-E27</f>
        <v>28169365.269999996</v>
      </c>
      <c r="G28" s="24">
        <f>+G25-G26-G27</f>
        <v>28268348.810000017</v>
      </c>
      <c r="I28" s="128">
        <f>+I25-I26-I27</f>
        <v>28218857.039999992</v>
      </c>
      <c r="J28" s="23"/>
      <c r="K28" s="24"/>
      <c r="L28" s="24"/>
      <c r="M28" s="24"/>
      <c r="N28" s="24"/>
      <c r="O28" s="24"/>
    </row>
    <row r="29" spans="1:17">
      <c r="A29" s="91"/>
      <c r="C29" s="57"/>
      <c r="D29" s="133"/>
      <c r="J29" s="23"/>
      <c r="K29" s="24"/>
      <c r="L29" s="24"/>
      <c r="M29" s="24"/>
      <c r="N29" s="24"/>
      <c r="O29" s="24"/>
      <c r="P29" s="24"/>
      <c r="Q29" s="24"/>
    </row>
    <row r="30" spans="1:17">
      <c r="A30" s="91"/>
      <c r="C30" s="57"/>
      <c r="D30" s="133"/>
      <c r="E30" s="130"/>
      <c r="G30" s="130"/>
      <c r="J30" s="23"/>
      <c r="K30" s="24"/>
      <c r="L30" s="24"/>
      <c r="M30" s="24"/>
      <c r="N30" s="24"/>
      <c r="O30" s="24"/>
      <c r="P30" s="24"/>
      <c r="Q30" s="24"/>
    </row>
    <row r="31" spans="1:17" ht="15.75">
      <c r="A31" s="91">
        <f>+A28+1</f>
        <v>11</v>
      </c>
      <c r="C31" s="55" t="s">
        <v>510</v>
      </c>
      <c r="D31" s="133"/>
      <c r="J31" s="23"/>
      <c r="K31" s="24"/>
      <c r="L31" s="24"/>
      <c r="M31" s="24"/>
      <c r="N31" s="24"/>
      <c r="O31" s="24"/>
      <c r="P31" s="24"/>
      <c r="Q31" s="24"/>
    </row>
    <row r="32" spans="1:17" ht="15.75">
      <c r="A32" s="91"/>
      <c r="C32" s="55"/>
      <c r="D32" s="133"/>
      <c r="J32" s="23"/>
      <c r="K32" s="24"/>
      <c r="L32" s="24"/>
      <c r="M32" s="24"/>
      <c r="N32" s="24"/>
      <c r="O32" s="24"/>
      <c r="P32" s="24"/>
      <c r="Q32" s="24"/>
    </row>
    <row r="33" spans="1:17">
      <c r="A33" s="91">
        <f>+A31+1</f>
        <v>12</v>
      </c>
      <c r="C33" s="57" t="s">
        <v>514</v>
      </c>
      <c r="D33" s="82" t="s">
        <v>517</v>
      </c>
      <c r="E33" s="834">
        <f>SUM('WS B-1 - Actual Stmt. AF'!Q122:S122)-'WS B-1 - Actual Stmt. AF'!D106</f>
        <v>71863912.778999999</v>
      </c>
      <c r="G33" s="878">
        <f>SUM('WS B-1 - Actual Stmt. AF'!M122:O122)-'WS B-1 - Actual Stmt. AF'!C106</f>
        <v>38695435.789000005</v>
      </c>
      <c r="H33"/>
      <c r="I33" s="128">
        <f>IF(G33="",0,(E33+G33)/2)</f>
        <v>55279674.284000002</v>
      </c>
      <c r="J33" s="23"/>
      <c r="K33" s="24"/>
      <c r="L33" s="24"/>
      <c r="M33" s="24"/>
      <c r="N33" s="24"/>
      <c r="O33" s="24"/>
      <c r="P33" s="24"/>
      <c r="Q33" s="24"/>
    </row>
    <row r="34" spans="1:17">
      <c r="A34" s="91">
        <f>+A33+1</f>
        <v>13</v>
      </c>
      <c r="C34" s="57" t="s">
        <v>518</v>
      </c>
      <c r="D34" s="293" t="str">
        <f>"WS B-1 - Actual Stmt. AF Ln. " &amp;'WS B-1 - Actual Stmt. AF'!A123&amp;" (Note 1)"</f>
        <v>WS B-1 - Actual Stmt. AF Ln. 13 (Note 1)</v>
      </c>
      <c r="E34" s="834">
        <f>SUM('WS B-1 - Actual Stmt. AF'!Q123:S123)</f>
        <v>0.01</v>
      </c>
      <c r="G34" s="878">
        <f>SUM('WS B-1 - Actual Stmt. AF'!M123:O123)</f>
        <v>0.01</v>
      </c>
      <c r="H34"/>
      <c r="I34" s="128">
        <f>IF(G34="",0,(E34+G34)/2)</f>
        <v>0.01</v>
      </c>
      <c r="J34" s="23"/>
      <c r="K34" s="1053"/>
      <c r="L34" s="1053"/>
      <c r="M34" s="1053"/>
      <c r="N34" s="1053"/>
      <c r="O34" s="1053"/>
    </row>
    <row r="35" spans="1:17" ht="15">
      <c r="A35" s="91">
        <f>+A34+1</f>
        <v>14</v>
      </c>
      <c r="C35" s="57" t="s">
        <v>519</v>
      </c>
      <c r="D35" s="293" t="str">
        <f>"WS B-1 - Actual Stmt. AF Ln. " &amp;'WS B-1 - Actual Stmt. AF'!A122&amp;" (Note 1)"</f>
        <v>WS B-1 - Actual Stmt. AF Ln. 12 (Note 1)</v>
      </c>
      <c r="E35" s="835">
        <f>('WS B-1 - Actual Stmt. AF'!Q122+'WS B-1 - Actual Stmt. AF'!S122)-('WS B-1 - Actual Stmt. AF'!Q123+'WS B-1 - Actual Stmt. AF'!S123)-'WS B-1 - Actual Stmt. AF'!D106</f>
        <v>71820201.349999994</v>
      </c>
      <c r="G35" s="879">
        <f>('WS B-1 - Actual Stmt. AF'!M122+'WS B-1 - Actual Stmt. AF'!O122)-('WS B-1 - Actual Stmt. AF'!M123-'WS B-1 - Actual Stmt. AF'!O123)-'WS B-1 - Actual Stmt. AF'!C106</f>
        <v>38780482.400000006</v>
      </c>
      <c r="I35" s="198">
        <f>IF(G35="",0,(E35+G35)/2)</f>
        <v>55300341.875</v>
      </c>
      <c r="J35" s="23"/>
      <c r="K35" s="23"/>
    </row>
    <row r="36" spans="1:17">
      <c r="A36" s="91">
        <f>+A35+1</f>
        <v>15</v>
      </c>
      <c r="C36" s="57" t="s">
        <v>515</v>
      </c>
      <c r="D36" s="133" t="str">
        <f>"Ln "&amp;A33&amp;" - ln "&amp;A34&amp;" - ln "&amp;A35&amp;""</f>
        <v>Ln 12 - ln 13 - ln 14</v>
      </c>
      <c r="E36" s="24">
        <f>+E33-E34-E35</f>
        <v>43711.418999999762</v>
      </c>
      <c r="G36" s="24">
        <f>+G33-G34-G35</f>
        <v>-85046.620999999344</v>
      </c>
      <c r="I36" s="128">
        <f>+I33-I34-I35</f>
        <v>-20667.600999996066</v>
      </c>
      <c r="J36" s="23"/>
      <c r="K36" s="23"/>
    </row>
    <row r="37" spans="1:17" ht="15.75">
      <c r="A37" s="91"/>
      <c r="C37" s="55"/>
      <c r="D37" s="133"/>
      <c r="J37" s="23"/>
      <c r="K37" s="24"/>
      <c r="L37" s="24"/>
      <c r="M37" s="24"/>
      <c r="N37" s="24"/>
      <c r="O37" s="24"/>
      <c r="P37" s="24"/>
    </row>
    <row r="38" spans="1:17">
      <c r="A38" s="91"/>
      <c r="C38" s="57"/>
      <c r="D38" s="133"/>
      <c r="J38" s="23"/>
      <c r="K38" s="24"/>
      <c r="L38" s="24"/>
      <c r="M38" s="24"/>
      <c r="N38" s="24"/>
      <c r="O38" s="24"/>
      <c r="P38" s="24"/>
    </row>
    <row r="39" spans="1:17" ht="15.75">
      <c r="A39" s="91">
        <f>+A36+1</f>
        <v>16</v>
      </c>
      <c r="C39" s="55" t="s">
        <v>511</v>
      </c>
      <c r="D39" s="133"/>
      <c r="J39" s="23"/>
      <c r="K39" s="24"/>
      <c r="L39" s="24"/>
      <c r="M39" s="24"/>
      <c r="N39" s="24"/>
      <c r="O39" s="24"/>
      <c r="P39" s="24"/>
    </row>
    <row r="40" spans="1:17">
      <c r="A40" s="91"/>
      <c r="C40" s="57"/>
      <c r="D40" s="133"/>
      <c r="J40" s="23"/>
      <c r="K40" s="24"/>
      <c r="L40" s="24"/>
      <c r="M40" s="24"/>
      <c r="N40" s="24"/>
      <c r="O40" s="24"/>
      <c r="P40" s="24"/>
    </row>
    <row r="41" spans="1:17">
      <c r="A41" s="91">
        <f>+A39+1</f>
        <v>17</v>
      </c>
      <c r="C41" s="57" t="s">
        <v>514</v>
      </c>
      <c r="D41" s="82" t="s">
        <v>513</v>
      </c>
      <c r="E41" s="878">
        <f>SUM('WS B-2 - Actual Stmt. AG'!Q77:S77)-'WS B-2 - Actual Stmt. AG'!D66</f>
        <v>8931437.2300000004</v>
      </c>
      <c r="G41" s="878">
        <f>SUM('WS B-2 - Actual Stmt. AG'!M77:O77)-'WS B-2 - Actual Stmt. AG'!C66</f>
        <v>10044130.48</v>
      </c>
      <c r="H41"/>
      <c r="I41" s="128">
        <f>IF(G41="",0,(E41+G41)/2)</f>
        <v>9487783.8550000004</v>
      </c>
      <c r="J41" s="23"/>
      <c r="K41" s="24"/>
      <c r="L41" s="24"/>
      <c r="M41" s="24"/>
      <c r="N41" s="24"/>
      <c r="O41" s="24"/>
    </row>
    <row r="42" spans="1:17">
      <c r="A42" s="91">
        <f>+A41+1</f>
        <v>18</v>
      </c>
      <c r="C42" s="57" t="s">
        <v>518</v>
      </c>
      <c r="D42" s="293" t="str">
        <f>"WS B-2 - Actual Stmt. AG Ln. " &amp;'WS B-2 - Actual Stmt. AG'!A78&amp;" (Note 1)"</f>
        <v>WS B-2 - Actual Stmt. AG Ln. 4 (Note 1)</v>
      </c>
      <c r="E42" s="878">
        <f>SUM('WS B-2 - Actual Stmt. AG'!Q78:S78)</f>
        <v>1768212.55</v>
      </c>
      <c r="G42" s="878">
        <f>SUM('WS B-2 - Actual Stmt. AG'!M78:O78)</f>
        <v>1718902.88</v>
      </c>
      <c r="H42"/>
      <c r="I42" s="128">
        <f>IF(G42="",0,(E42+G42)/2)</f>
        <v>1743557.7149999999</v>
      </c>
      <c r="J42" s="23"/>
      <c r="K42" s="24"/>
      <c r="L42" s="24"/>
      <c r="M42" s="24"/>
      <c r="N42" s="24"/>
      <c r="O42" s="24"/>
    </row>
    <row r="43" spans="1:17" ht="15">
      <c r="A43" s="91">
        <f>+A42+1</f>
        <v>19</v>
      </c>
      <c r="C43" s="57" t="s">
        <v>519</v>
      </c>
      <c r="D43" s="293" t="str">
        <f>"WS B-2 - Actual Stmt. AG Ln. " &amp;'WS B-2 - Actual Stmt. AG'!A77&amp;" (Note 1)"</f>
        <v>WS B-2 - Actual Stmt. AG Ln. 3 (Note 1)</v>
      </c>
      <c r="E43" s="879">
        <f>('WS B-2 - Actual Stmt. AG'!Q77+'WS B-2 - Actual Stmt. AG'!S77)-('WS B-2 - Actual Stmt. AG'!Q78+'WS B-2 - Actual Stmt. AG'!S78)-'WS B-2 - Actual Stmt. AG'!D66</f>
        <v>2011176.5736490153</v>
      </c>
      <c r="G43" s="879">
        <f>('WS B-2 - Actual Stmt. AG'!M77+'WS B-2 - Actual Stmt. AG'!O77)-('WS B-2 - Actual Stmt. AG'!M78+'WS B-2 - Actual Stmt. AG'!O78)-'WS B-2 - Actual Stmt. AG'!C66</f>
        <v>7514712.6362588955</v>
      </c>
      <c r="I43" s="198">
        <f>IF(G43="",0,(E43+G43)/2)</f>
        <v>4762944.6049539559</v>
      </c>
      <c r="J43" s="23"/>
      <c r="K43" s="24"/>
      <c r="L43" s="24"/>
      <c r="M43" s="24"/>
      <c r="N43" s="24"/>
      <c r="O43" s="24"/>
    </row>
    <row r="44" spans="1:17">
      <c r="A44" s="91">
        <f>+A43+1</f>
        <v>20</v>
      </c>
      <c r="C44" s="57" t="s">
        <v>515</v>
      </c>
      <c r="D44" s="133" t="str">
        <f>"Ln "&amp;A41&amp;" - ln "&amp;A42&amp;" - ln "&amp;A43&amp;""</f>
        <v>Ln 17 - ln 18 - ln 19</v>
      </c>
      <c r="E44" s="24">
        <f>+E41-E42-E43</f>
        <v>5152048.1063509854</v>
      </c>
      <c r="G44" s="24">
        <f>+G41-G42-G43</f>
        <v>810514.96374110505</v>
      </c>
      <c r="I44" s="128">
        <f>+I41-I42-I43</f>
        <v>2981281.5350460447</v>
      </c>
      <c r="J44" s="23"/>
      <c r="K44" s="23"/>
    </row>
    <row r="45" spans="1:17">
      <c r="A45" s="91"/>
      <c r="C45" s="57"/>
      <c r="D45" s="133"/>
      <c r="J45" s="23"/>
      <c r="K45" s="23"/>
    </row>
    <row r="46" spans="1:17">
      <c r="A46" s="91"/>
      <c r="C46" s="57"/>
      <c r="D46" s="133"/>
      <c r="J46" s="23"/>
      <c r="K46" s="23"/>
    </row>
    <row r="47" spans="1:17" ht="15.75">
      <c r="A47" s="91">
        <f>+A44+1</f>
        <v>21</v>
      </c>
      <c r="C47" s="55" t="s">
        <v>512</v>
      </c>
      <c r="D47" s="133"/>
      <c r="J47" s="23"/>
      <c r="K47" s="23"/>
    </row>
    <row r="48" spans="1:17">
      <c r="A48" s="91"/>
      <c r="C48" s="57"/>
      <c r="D48" s="133"/>
      <c r="J48" s="23"/>
      <c r="K48" s="24"/>
      <c r="L48" s="24"/>
      <c r="M48" s="24"/>
      <c r="N48" s="24"/>
      <c r="O48" s="24"/>
    </row>
    <row r="49" spans="1:15">
      <c r="A49" s="91">
        <f>+A47+1</f>
        <v>22</v>
      </c>
      <c r="C49" s="57" t="s">
        <v>520</v>
      </c>
      <c r="D49" s="82" t="s">
        <v>469</v>
      </c>
      <c r="E49" s="834">
        <f>SUM('WS B-1 - Actual Stmt. AF'!Q136:S136)</f>
        <v>0</v>
      </c>
      <c r="G49" s="834">
        <f>SUM('WS B-1 - Actual Stmt. AF'!M136:O136)</f>
        <v>0</v>
      </c>
      <c r="H49"/>
      <c r="I49" s="128">
        <f>IF(G49="",0,(E49+G49)/2)</f>
        <v>0</v>
      </c>
      <c r="J49" s="23"/>
      <c r="K49" s="24"/>
      <c r="L49" s="24"/>
      <c r="M49" s="24"/>
      <c r="N49" s="24"/>
      <c r="O49" s="24"/>
    </row>
    <row r="50" spans="1:15" ht="15">
      <c r="A50" s="91">
        <f>+A49+1</f>
        <v>23</v>
      </c>
      <c r="C50" s="57" t="s">
        <v>521</v>
      </c>
      <c r="D50" s="293" t="s">
        <v>67</v>
      </c>
      <c r="E50" s="835">
        <v>0</v>
      </c>
      <c r="G50" s="835">
        <v>0</v>
      </c>
      <c r="H50"/>
      <c r="I50" s="198">
        <f>IF(G50="",0,(E50+G50)/2)</f>
        <v>0</v>
      </c>
      <c r="J50" s="23"/>
      <c r="K50" s="24"/>
      <c r="L50" s="24"/>
      <c r="M50" s="24"/>
      <c r="N50" s="24"/>
      <c r="O50" s="24"/>
    </row>
    <row r="51" spans="1:15">
      <c r="A51" s="91">
        <f>+A50+1</f>
        <v>24</v>
      </c>
      <c r="C51" s="57" t="s">
        <v>388</v>
      </c>
      <c r="D51" s="133" t="str">
        <f>"Ln "&amp;A49&amp;" - ln "&amp;A50&amp;""</f>
        <v>Ln 22 - ln 23</v>
      </c>
      <c r="E51" s="24">
        <f>+E49-E50</f>
        <v>0</v>
      </c>
      <c r="G51" s="24">
        <f>+G49-G50</f>
        <v>0</v>
      </c>
      <c r="H51"/>
      <c r="I51" s="128">
        <f>+I49-I50</f>
        <v>0</v>
      </c>
      <c r="J51" s="23"/>
      <c r="K51" s="24"/>
      <c r="L51" s="24"/>
      <c r="M51" s="24"/>
      <c r="N51" s="24"/>
      <c r="O51" s="24"/>
    </row>
    <row r="52" spans="1:15">
      <c r="A52" s="91">
        <f>+A51+1</f>
        <v>25</v>
      </c>
      <c r="C52" s="57" t="s">
        <v>515</v>
      </c>
      <c r="D52" s="293" t="str">
        <f>"WS B-1 - Actual Stmt. AF Ln. " &amp;'WS B-1 - Actual Stmt. AF'!A136&amp;" (Note 1)"</f>
        <v>WS B-1 - Actual Stmt. AF Ln. 20 (Note 1)</v>
      </c>
      <c r="E52" s="834">
        <f>'WS B-1 - Actual Stmt. AF'!R136</f>
        <v>0</v>
      </c>
      <c r="G52" s="834">
        <f>'WS B-1 - Actual Stmt. AF'!N136</f>
        <v>0</v>
      </c>
      <c r="H52"/>
      <c r="I52" s="128">
        <f>IF(G52="",0,(E52+G52)/2)</f>
        <v>0</v>
      </c>
      <c r="J52" s="23"/>
      <c r="K52" s="24"/>
      <c r="L52" s="24"/>
      <c r="M52" s="24"/>
      <c r="N52" s="24"/>
      <c r="O52" s="24"/>
    </row>
    <row r="53" spans="1:15">
      <c r="A53" s="91"/>
      <c r="C53" s="57"/>
      <c r="D53" s="57"/>
      <c r="J53" s="23"/>
      <c r="K53" s="24"/>
      <c r="L53" s="24"/>
      <c r="M53" s="24"/>
      <c r="N53" s="24"/>
      <c r="O53" s="24"/>
    </row>
    <row r="54" spans="1:15">
      <c r="A54" s="80" t="s">
        <v>68</v>
      </c>
      <c r="C54" s="1562" t="s">
        <v>815</v>
      </c>
      <c r="D54" s="1562"/>
      <c r="E54" s="1562"/>
      <c r="F54" s="1562"/>
      <c r="G54" s="1562"/>
      <c r="H54" s="1562"/>
      <c r="I54" s="1562"/>
      <c r="J54" s="23"/>
      <c r="K54" s="23"/>
    </row>
    <row r="55" spans="1:15">
      <c r="A55" s="80"/>
      <c r="C55" s="1562"/>
      <c r="D55" s="1562"/>
      <c r="E55" s="1562"/>
      <c r="F55" s="1562"/>
      <c r="G55" s="1562"/>
      <c r="H55" s="1562"/>
      <c r="I55" s="1562"/>
      <c r="J55" s="23"/>
      <c r="K55" s="23"/>
    </row>
    <row r="56" spans="1:15">
      <c r="A56" s="91"/>
      <c r="C56" s="57"/>
      <c r="D56" s="57"/>
    </row>
    <row r="57" spans="1:15">
      <c r="A57" s="91" t="s">
        <v>69</v>
      </c>
      <c r="B57" s="33" t="s">
        <v>70</v>
      </c>
      <c r="C57" s="57"/>
      <c r="D57" s="57"/>
    </row>
    <row r="58" spans="1:15">
      <c r="B58" s="5"/>
      <c r="C58" s="5"/>
      <c r="D58" s="5"/>
      <c r="E58" s="5"/>
      <c r="F58" s="5"/>
      <c r="G58" s="5"/>
      <c r="H58" s="5"/>
      <c r="I58" s="5"/>
      <c r="J58" s="5"/>
      <c r="K58" s="5"/>
    </row>
    <row r="59" spans="1:15">
      <c r="B59" s="5"/>
      <c r="C59" s="5"/>
      <c r="D59" s="5"/>
      <c r="E59" s="5"/>
      <c r="F59" s="5"/>
      <c r="G59" s="5"/>
      <c r="H59" s="5"/>
      <c r="I59" s="5"/>
      <c r="J59" s="5"/>
      <c r="K59" s="5"/>
    </row>
    <row r="60" spans="1:15">
      <c r="B60" s="5"/>
      <c r="C60" s="5"/>
      <c r="D60" s="5"/>
      <c r="E60" s="5"/>
      <c r="F60" s="5"/>
      <c r="G60" s="5"/>
      <c r="H60" s="5"/>
      <c r="I60" s="5"/>
      <c r="J60" s="5"/>
      <c r="K60" s="5"/>
      <c r="L60" s="5"/>
    </row>
    <row r="61" spans="1:15">
      <c r="B61" s="5"/>
      <c r="C61" s="5"/>
      <c r="D61" s="5"/>
      <c r="E61" s="5"/>
      <c r="F61" s="5"/>
      <c r="G61" s="5"/>
      <c r="H61" s="5"/>
      <c r="I61" s="5"/>
      <c r="J61" s="5"/>
      <c r="K61" s="5"/>
      <c r="L61" s="5"/>
    </row>
    <row r="62" spans="1:15">
      <c r="B62" s="5"/>
      <c r="C62" s="5"/>
      <c r="D62" s="5"/>
      <c r="E62" s="5"/>
      <c r="F62" s="5"/>
      <c r="G62" s="5"/>
      <c r="H62" s="5"/>
      <c r="I62" s="5"/>
      <c r="J62" s="5"/>
      <c r="K62" s="5"/>
      <c r="L62" s="5"/>
    </row>
    <row r="63" spans="1:15">
      <c r="B63" s="5"/>
      <c r="C63" s="5"/>
      <c r="D63" s="5"/>
      <c r="E63" s="5"/>
      <c r="F63" s="5"/>
      <c r="G63" s="5"/>
      <c r="H63" s="5"/>
      <c r="I63" s="5"/>
      <c r="J63" s="5"/>
      <c r="K63" s="5"/>
      <c r="L63" s="5"/>
    </row>
    <row r="64" spans="1:15">
      <c r="B64" s="5"/>
      <c r="C64" s="5"/>
      <c r="D64" s="5"/>
      <c r="E64" s="5"/>
      <c r="F64" s="5"/>
      <c r="G64" s="5"/>
      <c r="H64" s="5"/>
      <c r="I64" s="5"/>
      <c r="J64" s="5"/>
      <c r="K64" s="5"/>
      <c r="L64" s="5"/>
    </row>
    <row r="65" spans="2:12">
      <c r="B65" s="5"/>
      <c r="C65" s="5"/>
      <c r="D65" s="5"/>
      <c r="E65" s="5"/>
      <c r="F65" s="5"/>
      <c r="G65" s="5"/>
      <c r="H65" s="5"/>
      <c r="I65" s="5"/>
      <c r="J65" s="5"/>
      <c r="K65" s="5"/>
      <c r="L65" s="5"/>
    </row>
    <row r="66" spans="2:12">
      <c r="B66" s="5"/>
      <c r="C66" s="5"/>
      <c r="D66" s="5"/>
      <c r="E66" s="5"/>
      <c r="F66" s="5"/>
      <c r="G66" s="5"/>
      <c r="H66" s="5"/>
      <c r="I66" s="5"/>
      <c r="J66" s="5"/>
      <c r="K66" s="5"/>
      <c r="L66" s="5"/>
    </row>
    <row r="67" spans="2:12">
      <c r="B67" s="5"/>
      <c r="C67" s="5"/>
      <c r="D67" s="5"/>
      <c r="E67" s="5"/>
      <c r="F67" s="5"/>
      <c r="G67" s="5"/>
      <c r="H67" s="5"/>
      <c r="I67" s="5"/>
      <c r="J67" s="5"/>
      <c r="K67" s="5"/>
      <c r="L67" s="5"/>
    </row>
    <row r="68" spans="2:12">
      <c r="B68" s="5"/>
      <c r="C68" s="5"/>
      <c r="D68" s="5"/>
      <c r="E68" s="5"/>
      <c r="F68" s="5"/>
      <c r="G68" s="5"/>
      <c r="H68" s="5"/>
      <c r="I68" s="5"/>
      <c r="J68" s="5"/>
      <c r="K68" s="5"/>
      <c r="L68" s="5"/>
    </row>
    <row r="69" spans="2:12">
      <c r="B69" s="5"/>
      <c r="C69" s="5"/>
      <c r="D69" s="5"/>
      <c r="E69" s="5"/>
      <c r="F69" s="5"/>
      <c r="G69" s="5"/>
      <c r="H69" s="5"/>
      <c r="I69" s="5"/>
      <c r="J69" s="5"/>
      <c r="K69" s="5"/>
      <c r="L69" s="5"/>
    </row>
    <row r="70" spans="2:12">
      <c r="B70" s="5"/>
      <c r="C70" s="5"/>
      <c r="D70" s="5"/>
      <c r="E70" s="5"/>
      <c r="F70" s="5"/>
      <c r="G70" s="5"/>
      <c r="H70" s="5"/>
      <c r="I70" s="5"/>
      <c r="J70" s="5"/>
      <c r="K70" s="5"/>
      <c r="L70" s="5"/>
    </row>
    <row r="71" spans="2:12">
      <c r="B71" s="5"/>
      <c r="C71" s="5"/>
      <c r="D71" s="5"/>
      <c r="E71" s="5"/>
      <c r="F71" s="5"/>
      <c r="G71" s="5"/>
      <c r="H71" s="5"/>
      <c r="I71" s="5"/>
      <c r="J71" s="5"/>
      <c r="K71" s="5"/>
      <c r="L71" s="5"/>
    </row>
    <row r="72" spans="2:12">
      <c r="B72" s="5"/>
      <c r="C72" s="5"/>
      <c r="D72" s="5"/>
      <c r="E72" s="5"/>
      <c r="F72" s="5"/>
      <c r="G72" s="5"/>
      <c r="H72" s="5"/>
      <c r="I72" s="5"/>
      <c r="J72" s="5"/>
      <c r="K72" s="5"/>
      <c r="L72" s="5"/>
    </row>
    <row r="73" spans="2:12">
      <c r="B73" s="5"/>
      <c r="C73" s="5"/>
      <c r="D73" s="5"/>
      <c r="E73" s="5"/>
      <c r="F73" s="5"/>
      <c r="G73" s="5"/>
      <c r="H73" s="5"/>
      <c r="I73" s="5"/>
      <c r="J73" s="5"/>
      <c r="K73" s="5"/>
      <c r="L73" s="5"/>
    </row>
    <row r="74" spans="2:12">
      <c r="B74" s="5"/>
      <c r="C74" s="5"/>
      <c r="D74" s="5"/>
      <c r="E74" s="5"/>
      <c r="F74" s="5"/>
      <c r="G74" s="5"/>
      <c r="H74" s="5"/>
      <c r="I74" s="5"/>
      <c r="J74" s="5"/>
      <c r="K74" s="5"/>
      <c r="L74" s="5"/>
    </row>
    <row r="75" spans="2:12">
      <c r="B75" s="5"/>
      <c r="C75" s="5"/>
      <c r="D75" s="5"/>
      <c r="E75" s="5"/>
      <c r="F75" s="5"/>
      <c r="G75" s="5"/>
      <c r="H75" s="5"/>
      <c r="I75" s="5"/>
      <c r="J75" s="5"/>
      <c r="K75" s="5"/>
      <c r="L75" s="5"/>
    </row>
    <row r="76" spans="2:12">
      <c r="B76" s="5"/>
      <c r="C76" s="5"/>
      <c r="D76" s="5"/>
      <c r="E76" s="5"/>
      <c r="F76" s="5"/>
      <c r="G76" s="5"/>
      <c r="H76" s="5"/>
      <c r="I76" s="5"/>
      <c r="J76" s="5"/>
      <c r="K76" s="5"/>
      <c r="L76" s="5"/>
    </row>
    <row r="77" spans="2:12">
      <c r="B77" s="5"/>
      <c r="C77" s="5"/>
      <c r="D77" s="5"/>
      <c r="E77" s="5"/>
      <c r="F77" s="5"/>
      <c r="G77" s="5"/>
      <c r="H77" s="5"/>
      <c r="I77" s="5"/>
      <c r="J77" s="5"/>
      <c r="K77" s="5"/>
      <c r="L77" s="5"/>
    </row>
    <row r="78" spans="2:12">
      <c r="B78" s="5"/>
      <c r="C78" s="5"/>
      <c r="D78" s="5"/>
      <c r="E78" s="5"/>
      <c r="F78" s="5"/>
      <c r="G78" s="5"/>
      <c r="H78" s="5"/>
      <c r="I78" s="5"/>
      <c r="J78" s="5"/>
      <c r="K78" s="5"/>
      <c r="L78" s="5"/>
    </row>
    <row r="79" spans="2:12">
      <c r="B79" s="5"/>
      <c r="C79" s="5"/>
      <c r="D79" s="5"/>
      <c r="E79" s="5"/>
      <c r="F79" s="5"/>
      <c r="G79" s="5"/>
      <c r="H79" s="5"/>
      <c r="I79" s="5"/>
      <c r="J79" s="5"/>
      <c r="K79" s="5"/>
      <c r="L79" s="5"/>
    </row>
    <row r="80" spans="2:12">
      <c r="B80" s="5"/>
      <c r="C80" s="5"/>
      <c r="D80" s="5"/>
      <c r="E80" s="5"/>
      <c r="F80" s="5"/>
      <c r="G80" s="5"/>
      <c r="H80" s="5"/>
      <c r="I80" s="5"/>
      <c r="J80" s="5"/>
      <c r="K80" s="5"/>
      <c r="L80" s="5"/>
    </row>
    <row r="81" spans="2:12">
      <c r="B81" s="5"/>
      <c r="C81" s="5"/>
      <c r="D81" s="5"/>
      <c r="E81" s="5"/>
      <c r="F81" s="5"/>
      <c r="G81" s="5"/>
      <c r="H81" s="5"/>
      <c r="I81" s="5"/>
      <c r="J81" s="5"/>
      <c r="K81" s="5"/>
      <c r="L81" s="5"/>
    </row>
    <row r="82" spans="2:12">
      <c r="B82" s="5"/>
      <c r="C82" s="5"/>
      <c r="D82" s="5"/>
      <c r="E82" s="5"/>
      <c r="F82" s="5"/>
      <c r="G82" s="5"/>
      <c r="H82" s="5"/>
      <c r="I82" s="5"/>
      <c r="J82" s="5"/>
      <c r="K82" s="5"/>
      <c r="L82" s="5"/>
    </row>
    <row r="83" spans="2:12">
      <c r="B83" s="5"/>
      <c r="C83" s="5"/>
      <c r="D83" s="5"/>
      <c r="E83" s="5"/>
      <c r="F83" s="5"/>
      <c r="G83" s="5"/>
      <c r="H83" s="5"/>
      <c r="I83" s="5"/>
      <c r="J83" s="5"/>
      <c r="K83" s="5"/>
      <c r="L83" s="5"/>
    </row>
    <row r="84" spans="2:12">
      <c r="B84" s="5"/>
      <c r="C84" s="5"/>
      <c r="D84" s="5"/>
      <c r="E84" s="5"/>
      <c r="F84" s="5"/>
      <c r="G84" s="5"/>
      <c r="H84" s="5"/>
      <c r="I84" s="5"/>
      <c r="J84" s="5"/>
      <c r="K84" s="5"/>
      <c r="L84" s="5"/>
    </row>
    <row r="85" spans="2:12" ht="14.25" customHeight="1">
      <c r="B85" s="5"/>
      <c r="C85" s="5"/>
      <c r="D85" s="5"/>
      <c r="E85" s="5"/>
      <c r="F85" s="5"/>
      <c r="G85" s="5"/>
      <c r="H85" s="5"/>
      <c r="I85" s="5"/>
      <c r="J85" s="5"/>
      <c r="K85" s="5"/>
      <c r="L85" s="5"/>
    </row>
    <row r="86" spans="2:12" ht="12.75" customHeight="1">
      <c r="B86" s="5"/>
      <c r="C86" s="5"/>
      <c r="D86" s="5"/>
      <c r="E86" s="5"/>
      <c r="F86" s="5"/>
      <c r="G86" s="5"/>
      <c r="H86" s="5"/>
      <c r="I86" s="5"/>
      <c r="J86" s="5"/>
      <c r="K86" s="5"/>
      <c r="L86" s="5"/>
    </row>
    <row r="87" spans="2:12" ht="12.75" customHeight="1">
      <c r="B87" s="5"/>
      <c r="C87" s="5"/>
      <c r="D87" s="5"/>
      <c r="E87" s="5"/>
      <c r="F87" s="5"/>
      <c r="G87" s="5"/>
      <c r="H87" s="5"/>
      <c r="I87" s="5"/>
      <c r="J87" s="5"/>
      <c r="K87" s="5"/>
      <c r="L87" s="5"/>
    </row>
    <row r="88" spans="2:12" ht="12.75" customHeight="1">
      <c r="B88" s="5"/>
      <c r="C88" s="5"/>
      <c r="D88" s="5"/>
      <c r="E88" s="5"/>
      <c r="F88" s="5"/>
      <c r="G88" s="5"/>
      <c r="H88" s="5"/>
      <c r="I88" s="5"/>
      <c r="J88" s="5"/>
      <c r="K88" s="5"/>
      <c r="L88" s="5"/>
    </row>
    <row r="89" spans="2:12" ht="12.75" customHeight="1">
      <c r="B89" s="5"/>
      <c r="C89" s="5"/>
      <c r="D89" s="5"/>
      <c r="E89" s="5"/>
      <c r="F89" s="5"/>
      <c r="G89" s="5"/>
      <c r="H89" s="5"/>
      <c r="I89" s="5"/>
      <c r="J89" s="5"/>
      <c r="K89" s="5"/>
      <c r="L89" s="5"/>
    </row>
    <row r="90" spans="2:12" ht="12.75" customHeight="1">
      <c r="B90" s="5"/>
      <c r="C90" s="5"/>
      <c r="D90" s="5"/>
      <c r="E90" s="5"/>
      <c r="F90" s="5"/>
      <c r="G90" s="5"/>
      <c r="H90" s="5"/>
      <c r="I90" s="5"/>
      <c r="J90" s="5"/>
      <c r="K90" s="5"/>
      <c r="L90" s="5"/>
    </row>
    <row r="91" spans="2:12" ht="12.75" customHeight="1">
      <c r="B91" s="5"/>
      <c r="C91" s="5"/>
      <c r="D91" s="5"/>
      <c r="E91" s="5"/>
      <c r="F91" s="5"/>
      <c r="G91" s="5"/>
      <c r="H91" s="5"/>
      <c r="I91" s="5"/>
      <c r="J91" s="5"/>
      <c r="K91" s="5"/>
      <c r="L91" s="5"/>
    </row>
    <row r="92" spans="2:12" ht="12.75" customHeight="1">
      <c r="B92" s="5"/>
      <c r="C92" s="5"/>
      <c r="D92" s="5"/>
      <c r="E92" s="5"/>
      <c r="F92" s="5"/>
      <c r="G92" s="5"/>
      <c r="H92" s="5"/>
      <c r="I92" s="5"/>
      <c r="J92" s="5"/>
      <c r="K92" s="5"/>
      <c r="L92" s="5"/>
    </row>
    <row r="93" spans="2:12" ht="12.75" customHeight="1">
      <c r="B93" s="5"/>
      <c r="C93" s="5"/>
      <c r="D93" s="5"/>
      <c r="E93" s="5"/>
      <c r="F93" s="5"/>
      <c r="G93" s="5"/>
      <c r="H93" s="5"/>
      <c r="I93" s="5"/>
      <c r="J93" s="5"/>
      <c r="K93" s="5"/>
      <c r="L93" s="5"/>
    </row>
    <row r="94" spans="2:12" ht="12.75" customHeight="1">
      <c r="B94" s="5"/>
      <c r="C94" s="5"/>
      <c r="D94" s="5"/>
      <c r="E94" s="5"/>
      <c r="F94" s="5"/>
      <c r="G94" s="5"/>
      <c r="H94" s="5"/>
      <c r="I94" s="5"/>
      <c r="J94" s="5"/>
      <c r="K94" s="5"/>
      <c r="L94" s="5"/>
    </row>
    <row r="95" spans="2:12" ht="12.75" customHeight="1">
      <c r="B95" s="5"/>
      <c r="C95" s="5"/>
      <c r="D95" s="5"/>
      <c r="E95" s="5"/>
      <c r="F95" s="5"/>
      <c r="G95" s="5"/>
      <c r="H95" s="5"/>
      <c r="I95" s="5"/>
      <c r="J95" s="5"/>
      <c r="K95" s="5"/>
      <c r="L95" s="5"/>
    </row>
    <row r="96" spans="2:12" ht="12.75" customHeight="1">
      <c r="B96" s="5"/>
      <c r="C96" s="5"/>
      <c r="D96" s="5"/>
      <c r="E96" s="5"/>
      <c r="F96" s="5"/>
      <c r="G96" s="5"/>
      <c r="H96" s="5"/>
      <c r="I96" s="5"/>
      <c r="J96" s="5"/>
      <c r="K96" s="5"/>
      <c r="L96" s="5"/>
    </row>
    <row r="97" spans="2:12" ht="12.75" customHeight="1">
      <c r="B97" s="5"/>
      <c r="C97" s="5"/>
      <c r="D97" s="5"/>
      <c r="E97" s="5"/>
      <c r="F97" s="5"/>
      <c r="G97" s="5"/>
      <c r="H97" s="5"/>
      <c r="I97" s="5"/>
      <c r="J97" s="5"/>
      <c r="K97" s="5"/>
      <c r="L97" s="5"/>
    </row>
    <row r="98" spans="2:12" ht="12.75" customHeight="1">
      <c r="B98" s="5"/>
      <c r="C98" s="5"/>
      <c r="D98" s="5"/>
      <c r="E98" s="5"/>
      <c r="F98" s="5"/>
      <c r="G98" s="5"/>
      <c r="H98" s="5"/>
      <c r="I98" s="5"/>
      <c r="J98" s="5"/>
      <c r="K98" s="5"/>
      <c r="L98" s="5"/>
    </row>
    <row r="99" spans="2:12" ht="12.75" customHeight="1">
      <c r="B99" s="5"/>
      <c r="C99" s="5"/>
      <c r="D99" s="5"/>
      <c r="E99" s="5"/>
      <c r="F99" s="5"/>
      <c r="G99" s="5"/>
      <c r="H99" s="5"/>
      <c r="I99" s="5"/>
      <c r="J99" s="5"/>
      <c r="K99" s="5"/>
      <c r="L99" s="5"/>
    </row>
    <row r="100" spans="2:12" ht="12.75" customHeight="1">
      <c r="B100" s="5"/>
      <c r="C100" s="5"/>
      <c r="D100" s="5"/>
      <c r="E100" s="5"/>
      <c r="F100" s="5"/>
      <c r="G100" s="5"/>
      <c r="H100" s="5"/>
      <c r="I100" s="5"/>
      <c r="J100" s="5"/>
      <c r="K100" s="5"/>
      <c r="L100" s="5"/>
    </row>
    <row r="101" spans="2:12">
      <c r="B101" s="5"/>
      <c r="C101" s="5"/>
      <c r="D101" s="5"/>
      <c r="E101" s="5"/>
      <c r="F101" s="5"/>
      <c r="G101" s="5"/>
      <c r="H101" s="5"/>
      <c r="I101" s="5"/>
      <c r="J101" s="5"/>
      <c r="K101" s="5"/>
      <c r="L101" s="5"/>
    </row>
    <row r="102" spans="2:12">
      <c r="B102" s="5"/>
      <c r="C102" s="5"/>
      <c r="D102" s="5"/>
      <c r="E102" s="5"/>
      <c r="F102" s="5"/>
      <c r="G102" s="5"/>
      <c r="H102" s="5"/>
      <c r="I102" s="5"/>
      <c r="J102" s="5"/>
      <c r="K102" s="5"/>
      <c r="L102" s="5"/>
    </row>
    <row r="103" spans="2:12">
      <c r="B103" s="5"/>
      <c r="C103" s="5"/>
      <c r="D103" s="5"/>
      <c r="E103" s="5"/>
      <c r="F103" s="5"/>
      <c r="G103" s="5"/>
      <c r="H103" s="5"/>
      <c r="I103" s="5"/>
      <c r="J103" s="5"/>
      <c r="K103" s="5"/>
      <c r="L103" s="5"/>
    </row>
    <row r="104" spans="2:12">
      <c r="B104" s="5"/>
      <c r="C104" s="5"/>
      <c r="D104" s="5"/>
      <c r="E104" s="5"/>
      <c r="F104" s="5"/>
      <c r="G104" s="5"/>
      <c r="H104" s="5"/>
      <c r="I104" s="5"/>
      <c r="J104" s="5"/>
      <c r="K104" s="5"/>
      <c r="L104" s="5"/>
    </row>
    <row r="105" spans="2:12">
      <c r="B105" s="5"/>
      <c r="C105" s="5"/>
      <c r="D105" s="5"/>
      <c r="E105" s="5"/>
      <c r="F105" s="5"/>
      <c r="G105" s="5"/>
      <c r="H105" s="5"/>
      <c r="I105" s="5"/>
      <c r="J105" s="5"/>
      <c r="K105" s="5"/>
      <c r="L105" s="5"/>
    </row>
    <row r="106" spans="2:12">
      <c r="B106" s="5"/>
      <c r="C106" s="5"/>
      <c r="D106" s="5"/>
      <c r="E106" s="5"/>
      <c r="F106" s="5"/>
      <c r="G106" s="5"/>
      <c r="H106" s="5"/>
      <c r="I106" s="5"/>
      <c r="J106" s="5"/>
      <c r="K106" s="5"/>
      <c r="L106" s="5"/>
    </row>
    <row r="107" spans="2:12">
      <c r="B107" s="5"/>
      <c r="C107" s="5"/>
      <c r="D107" s="5"/>
      <c r="E107" s="5"/>
      <c r="F107" s="5"/>
      <c r="G107" s="5"/>
      <c r="H107" s="5"/>
      <c r="I107" s="5"/>
      <c r="J107" s="5"/>
      <c r="K107" s="5"/>
      <c r="L107" s="5"/>
    </row>
    <row r="108" spans="2:12">
      <c r="B108" s="5"/>
      <c r="C108" s="5"/>
      <c r="D108" s="5"/>
      <c r="E108" s="5"/>
      <c r="F108" s="5"/>
      <c r="G108" s="5"/>
      <c r="H108" s="5"/>
      <c r="I108" s="5"/>
      <c r="J108" s="5"/>
      <c r="K108" s="5"/>
      <c r="L108" s="5"/>
    </row>
    <row r="109" spans="2:12">
      <c r="B109" s="5"/>
      <c r="C109" s="5"/>
      <c r="D109" s="5"/>
      <c r="E109" s="5"/>
      <c r="F109" s="5"/>
      <c r="G109" s="5"/>
      <c r="H109" s="5"/>
      <c r="I109" s="5"/>
      <c r="J109" s="5"/>
      <c r="K109" s="5"/>
      <c r="L109" s="5"/>
    </row>
    <row r="110" spans="2:12">
      <c r="B110" s="5"/>
      <c r="C110" s="5"/>
      <c r="D110" s="5"/>
      <c r="E110" s="5"/>
      <c r="F110" s="5"/>
      <c r="G110" s="5"/>
      <c r="H110" s="5"/>
      <c r="I110" s="5"/>
      <c r="J110" s="5"/>
      <c r="K110" s="5"/>
      <c r="L110" s="5"/>
    </row>
    <row r="111" spans="2:12">
      <c r="B111" s="5"/>
      <c r="C111" s="5"/>
      <c r="D111" s="5"/>
      <c r="E111" s="5"/>
      <c r="F111" s="5"/>
      <c r="G111" s="5"/>
      <c r="H111" s="5"/>
      <c r="I111" s="5"/>
      <c r="J111" s="5"/>
      <c r="K111" s="5"/>
      <c r="L111" s="5"/>
    </row>
    <row r="112" spans="2:12">
      <c r="B112" s="5"/>
      <c r="C112" s="5"/>
      <c r="D112" s="5"/>
      <c r="E112" s="5"/>
      <c r="F112" s="5"/>
      <c r="G112" s="5"/>
      <c r="H112" s="5"/>
      <c r="I112" s="5"/>
      <c r="J112" s="5"/>
      <c r="K112" s="5"/>
      <c r="L112" s="5"/>
    </row>
    <row r="113" spans="2:12">
      <c r="B113" s="5"/>
      <c r="C113" s="5"/>
      <c r="D113" s="5"/>
      <c r="E113" s="5"/>
      <c r="F113" s="5"/>
      <c r="G113" s="5"/>
      <c r="H113" s="5"/>
      <c r="I113" s="5"/>
      <c r="J113" s="5"/>
      <c r="K113" s="5"/>
      <c r="L113" s="5"/>
    </row>
    <row r="114" spans="2:12">
      <c r="B114" s="5"/>
      <c r="C114" s="5"/>
      <c r="D114" s="5"/>
      <c r="E114" s="5"/>
      <c r="F114" s="5"/>
      <c r="G114" s="5"/>
      <c r="H114" s="5"/>
      <c r="I114" s="5"/>
      <c r="J114" s="5"/>
      <c r="K114" s="5"/>
      <c r="L114" s="5"/>
    </row>
    <row r="115" spans="2:12">
      <c r="B115" s="5"/>
      <c r="C115" s="5"/>
      <c r="D115" s="5"/>
      <c r="E115" s="5"/>
      <c r="F115" s="5"/>
      <c r="G115" s="5"/>
      <c r="H115" s="5"/>
      <c r="I115" s="5"/>
      <c r="J115" s="5"/>
      <c r="K115" s="5"/>
      <c r="L115" s="5"/>
    </row>
    <row r="116" spans="2:12">
      <c r="B116" s="5"/>
      <c r="C116" s="5"/>
      <c r="D116" s="5"/>
      <c r="E116" s="5"/>
      <c r="F116" s="5"/>
      <c r="G116" s="5"/>
      <c r="H116" s="5"/>
      <c r="I116" s="5"/>
      <c r="J116" s="5"/>
      <c r="K116" s="5"/>
      <c r="L116" s="5"/>
    </row>
    <row r="117" spans="2:12">
      <c r="B117" s="5"/>
      <c r="C117" s="5"/>
      <c r="D117" s="5"/>
      <c r="E117" s="5"/>
      <c r="F117" s="5"/>
      <c r="G117" s="5"/>
      <c r="H117" s="5"/>
      <c r="I117" s="5"/>
      <c r="J117" s="5"/>
      <c r="K117" s="5"/>
      <c r="L117" s="5"/>
    </row>
    <row r="118" spans="2:12">
      <c r="B118" s="5"/>
      <c r="C118" s="5"/>
      <c r="D118" s="5"/>
      <c r="E118" s="5"/>
      <c r="F118" s="5"/>
      <c r="G118" s="5"/>
      <c r="H118" s="5"/>
      <c r="I118" s="5"/>
      <c r="J118" s="5"/>
      <c r="K118" s="5"/>
      <c r="L118" s="5"/>
    </row>
  </sheetData>
  <mergeCells count="8">
    <mergeCell ref="C54:I55"/>
    <mergeCell ref="A3:I3"/>
    <mergeCell ref="A4:I4"/>
    <mergeCell ref="A5:I5"/>
    <mergeCell ref="E10:E11"/>
    <mergeCell ref="A6:I6"/>
    <mergeCell ref="G10:G11"/>
    <mergeCell ref="I10:I11"/>
  </mergeCells>
  <phoneticPr fontId="0" type="noConversion"/>
  <pageMargins left="0.26" right="0.59" top="1" bottom="1" header="0.75" footer="0.5"/>
  <pageSetup scale="62" orientation="portrait" r:id="rId1"/>
  <headerFooter alignWithMargins="0">
    <oddHeader>&amp;R&amp;"Arial,Bold"Formula Rate
 &amp;A
Page &amp;P of &amp;N</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pageSetUpPr fitToPage="1"/>
  </sheetPr>
  <dimension ref="A1:K57"/>
  <sheetViews>
    <sheetView view="pageBreakPreview" zoomScale="60" zoomScaleNormal="100" workbookViewId="0">
      <selection activeCell="A8" sqref="A8:D8"/>
    </sheetView>
  </sheetViews>
  <sheetFormatPr defaultRowHeight="12.75"/>
  <cols>
    <col min="1" max="1" width="28.42578125" customWidth="1"/>
    <col min="4" max="4" width="26.85546875" customWidth="1"/>
    <col min="5" max="5" width="17.140625" customWidth="1"/>
    <col min="6" max="6" width="10.5703125" customWidth="1"/>
    <col min="8" max="8" width="15.42578125" customWidth="1"/>
    <col min="9" max="9" width="15.5703125" customWidth="1"/>
    <col min="11" max="11" width="14.85546875" customWidth="1"/>
  </cols>
  <sheetData>
    <row r="1" spans="1:11" ht="15.75">
      <c r="A1" s="1661" t="s">
        <v>387</v>
      </c>
      <c r="B1" s="1661"/>
      <c r="C1" s="1661"/>
      <c r="D1" s="1661"/>
      <c r="E1" s="1661"/>
      <c r="F1" s="1661"/>
      <c r="G1" s="1661"/>
      <c r="H1" s="1661"/>
      <c r="I1" s="1661"/>
      <c r="J1" s="1661"/>
      <c r="K1" s="1661"/>
    </row>
    <row r="2" spans="1:11" ht="15.75">
      <c r="A2" s="1662" t="s">
        <v>566</v>
      </c>
      <c r="B2" s="1662"/>
      <c r="C2" s="1662"/>
      <c r="D2" s="1662"/>
      <c r="E2" s="1662"/>
      <c r="F2" s="1662"/>
      <c r="G2" s="1662"/>
      <c r="H2" s="1662"/>
      <c r="I2" s="1662"/>
      <c r="J2" s="1662"/>
      <c r="K2" s="1662"/>
    </row>
    <row r="3" spans="1:11" ht="15.75">
      <c r="A3" s="1662" t="s">
        <v>567</v>
      </c>
      <c r="B3" s="1662"/>
      <c r="C3" s="1662"/>
      <c r="D3" s="1662"/>
      <c r="E3" s="1662"/>
      <c r="F3" s="1662"/>
      <c r="G3" s="1662"/>
      <c r="H3" s="1662"/>
      <c r="I3" s="1662"/>
      <c r="J3" s="1662"/>
      <c r="K3" s="1662"/>
    </row>
    <row r="4" spans="1:11" ht="15.75">
      <c r="A4" s="507"/>
      <c r="B4" s="507"/>
      <c r="C4" s="507"/>
      <c r="D4" s="1662"/>
      <c r="E4" s="1662"/>
      <c r="F4" s="1662"/>
      <c r="G4" s="1662"/>
      <c r="H4" s="507"/>
      <c r="I4" s="507"/>
      <c r="J4" s="507"/>
      <c r="K4" s="507"/>
    </row>
    <row r="5" spans="1:11">
      <c r="A5" s="401"/>
      <c r="B5" s="401"/>
      <c r="C5" s="401"/>
      <c r="D5" s="401"/>
      <c r="E5" s="401"/>
      <c r="F5" s="401"/>
      <c r="G5" s="401"/>
      <c r="H5" s="401"/>
      <c r="I5" s="401"/>
      <c r="J5" s="401"/>
      <c r="K5" s="401"/>
    </row>
    <row r="6" spans="1:11">
      <c r="A6" s="401"/>
      <c r="B6" s="401"/>
      <c r="C6" s="401"/>
      <c r="D6" s="401"/>
      <c r="E6" s="401"/>
      <c r="F6" s="401"/>
      <c r="G6" s="401"/>
      <c r="H6" s="401"/>
      <c r="I6" s="401"/>
      <c r="J6" s="401"/>
      <c r="K6" s="401"/>
    </row>
    <row r="7" spans="1:11" ht="16.5" thickBot="1">
      <c r="A7" s="787"/>
      <c r="B7" s="788"/>
      <c r="C7" s="788"/>
      <c r="D7" s="788"/>
      <c r="E7" s="788"/>
      <c r="F7" s="788"/>
      <c r="G7" s="788"/>
      <c r="H7" s="788"/>
      <c r="I7" s="788"/>
      <c r="J7" s="788"/>
      <c r="K7" s="788"/>
    </row>
    <row r="8" spans="1:11" ht="63">
      <c r="A8" s="789" t="str">
        <f>"Reconciliation Revenue Requirement For Year 2018 Available May 25, 2019"</f>
        <v>Reconciliation Revenue Requirement For Year 2018 Available May 25, 2019</v>
      </c>
      <c r="B8" s="788"/>
      <c r="C8" s="788"/>
      <c r="D8" s="789" t="s">
        <v>1118</v>
      </c>
      <c r="E8" s="788"/>
      <c r="F8" s="788"/>
      <c r="G8" s="507"/>
      <c r="H8" s="789" t="s">
        <v>547</v>
      </c>
      <c r="I8" s="507"/>
      <c r="J8" s="507"/>
      <c r="K8" s="507"/>
    </row>
    <row r="9" spans="1:11" ht="15.75">
      <c r="A9" s="790" t="s">
        <v>114</v>
      </c>
      <c r="B9" s="788"/>
      <c r="C9" s="788"/>
      <c r="D9" s="790"/>
      <c r="E9" s="788"/>
      <c r="F9" s="788"/>
      <c r="G9" s="507"/>
      <c r="H9" s="791"/>
      <c r="I9" s="507"/>
      <c r="J9" s="507"/>
      <c r="K9" s="507"/>
    </row>
    <row r="10" spans="1:11" ht="16.5" thickBot="1">
      <c r="A10" s="873">
        <v>0</v>
      </c>
      <c r="B10" s="792" t="str">
        <f>"-"</f>
        <v>-</v>
      </c>
      <c r="C10" s="793"/>
      <c r="D10" s="873">
        <v>0</v>
      </c>
      <c r="E10" s="794"/>
      <c r="F10" s="795" t="str">
        <f>"="</f>
        <v>=</v>
      </c>
      <c r="G10" s="796"/>
      <c r="H10" s="797">
        <f>IF(A10=0,0,D10-A10)</f>
        <v>0</v>
      </c>
      <c r="I10" s="507"/>
      <c r="J10" s="507"/>
      <c r="K10" s="507"/>
    </row>
    <row r="11" spans="1:11" ht="15.75">
      <c r="A11" s="798"/>
      <c r="B11" s="799"/>
      <c r="C11" s="799"/>
      <c r="D11" s="798"/>
      <c r="E11" s="798"/>
      <c r="F11" s="799"/>
      <c r="G11" s="798"/>
      <c r="H11" s="507"/>
      <c r="I11" s="507"/>
      <c r="J11" s="507"/>
      <c r="K11" s="507"/>
    </row>
    <row r="12" spans="1:11" ht="16.5" thickBot="1">
      <c r="A12" s="800"/>
      <c r="B12" s="801"/>
      <c r="C12" s="801"/>
      <c r="D12" s="800"/>
      <c r="E12" s="800"/>
      <c r="F12" s="801"/>
      <c r="G12" s="800"/>
      <c r="H12" s="802"/>
      <c r="I12" s="802"/>
      <c r="J12" s="802"/>
      <c r="K12" s="802"/>
    </row>
    <row r="13" spans="1:11" ht="15.75">
      <c r="A13" s="803"/>
      <c r="B13" s="799"/>
      <c r="C13" s="799"/>
      <c r="D13" s="798"/>
      <c r="E13" s="798"/>
      <c r="F13" s="799"/>
      <c r="G13" s="798"/>
      <c r="H13" s="507"/>
      <c r="I13" s="507"/>
      <c r="J13" s="507"/>
      <c r="K13" s="507"/>
    </row>
    <row r="14" spans="1:11" ht="63">
      <c r="A14" s="804" t="s">
        <v>548</v>
      </c>
      <c r="B14" s="799"/>
      <c r="C14" s="799"/>
      <c r="D14" s="805" t="s">
        <v>549</v>
      </c>
      <c r="E14" s="798"/>
      <c r="F14" s="805" t="s">
        <v>550</v>
      </c>
      <c r="G14" s="806" t="s">
        <v>551</v>
      </c>
      <c r="H14" s="807" t="s">
        <v>552</v>
      </c>
      <c r="I14" s="805" t="s">
        <v>553</v>
      </c>
      <c r="J14" s="808"/>
      <c r="K14" s="805" t="s">
        <v>554</v>
      </c>
    </row>
    <row r="15" spans="1:11" ht="15.75">
      <c r="A15" s="804" t="s">
        <v>555</v>
      </c>
      <c r="B15" s="799"/>
      <c r="C15" s="799"/>
      <c r="D15" s="507"/>
      <c r="E15" s="809"/>
      <c r="F15" s="874">
        <f>'WSQ NSPR'!F15</f>
        <v>4.0949999999999997E-3</v>
      </c>
      <c r="G15" s="319"/>
      <c r="H15" s="507"/>
      <c r="I15" s="507"/>
      <c r="J15" s="507"/>
      <c r="K15" s="507"/>
    </row>
    <row r="16" spans="1:11" ht="15.75">
      <c r="A16" s="804"/>
      <c r="B16" s="799"/>
      <c r="C16" s="799"/>
      <c r="D16" s="507"/>
      <c r="E16" s="809"/>
      <c r="F16" s="809"/>
      <c r="G16" s="798"/>
      <c r="H16" s="507"/>
      <c r="I16" s="507"/>
      <c r="J16" s="507"/>
      <c r="K16" s="507"/>
    </row>
    <row r="17" spans="1:11" ht="15.75">
      <c r="A17" s="804" t="s">
        <v>1119</v>
      </c>
      <c r="B17" s="799"/>
      <c r="C17" s="799"/>
      <c r="D17" s="507"/>
      <c r="E17" s="809"/>
      <c r="F17" s="809"/>
      <c r="G17" s="798"/>
      <c r="H17" s="507"/>
      <c r="I17" s="507"/>
      <c r="J17" s="507"/>
      <c r="K17" s="507"/>
    </row>
    <row r="18" spans="1:11" ht="15.75">
      <c r="A18" s="810" t="s">
        <v>114</v>
      </c>
      <c r="B18" s="799"/>
      <c r="C18" s="799"/>
      <c r="D18" s="799"/>
      <c r="E18" s="799"/>
      <c r="F18" s="799" t="s">
        <v>114</v>
      </c>
      <c r="G18" s="507"/>
      <c r="H18" s="507"/>
      <c r="I18" s="507"/>
      <c r="J18" s="507"/>
      <c r="K18" s="507"/>
    </row>
    <row r="19" spans="1:11" ht="15.75">
      <c r="A19" s="811"/>
      <c r="B19" s="799"/>
      <c r="C19" s="799"/>
      <c r="D19" s="799"/>
      <c r="E19" s="799"/>
      <c r="F19" s="507"/>
      <c r="G19" s="507"/>
      <c r="H19" s="806"/>
      <c r="I19" s="799"/>
      <c r="J19" s="799"/>
      <c r="K19" s="799"/>
    </row>
    <row r="20" spans="1:11" ht="15.75">
      <c r="A20" s="811" t="s">
        <v>556</v>
      </c>
      <c r="B20" s="799"/>
      <c r="C20" s="799"/>
      <c r="D20" s="799"/>
      <c r="E20" s="799"/>
      <c r="F20" s="507"/>
      <c r="G20" s="507"/>
      <c r="H20" s="806" t="s">
        <v>557</v>
      </c>
      <c r="I20" s="799"/>
      <c r="J20" s="799"/>
      <c r="K20" s="799"/>
    </row>
    <row r="21" spans="1:11" ht="15.75">
      <c r="A21" s="788" t="s">
        <v>185</v>
      </c>
      <c r="B21" s="788" t="str">
        <f>"Year 2018"</f>
        <v>Year 2018</v>
      </c>
      <c r="C21" s="788"/>
      <c r="D21" s="812">
        <f>H10/12</f>
        <v>0</v>
      </c>
      <c r="E21" s="812"/>
      <c r="F21" s="813">
        <f>+F15</f>
        <v>4.0949999999999997E-3</v>
      </c>
      <c r="G21" s="814">
        <v>12</v>
      </c>
      <c r="H21" s="812">
        <f>F21*D21*G21*-1</f>
        <v>0</v>
      </c>
      <c r="I21" s="812"/>
      <c r="J21" s="812"/>
      <c r="K21" s="812">
        <f>(-H21+D21)*-1</f>
        <v>0</v>
      </c>
    </row>
    <row r="22" spans="1:11" ht="15.75">
      <c r="A22" s="788" t="s">
        <v>558</v>
      </c>
      <c r="B22" s="788" t="str">
        <f>B21</f>
        <v>Year 2018</v>
      </c>
      <c r="C22" s="788"/>
      <c r="D22" s="812">
        <f>+D21</f>
        <v>0</v>
      </c>
      <c r="E22" s="812"/>
      <c r="F22" s="813">
        <f>+F21</f>
        <v>4.0949999999999997E-3</v>
      </c>
      <c r="G22" s="814">
        <f t="shared" ref="G22:G32" si="0">+G21-1</f>
        <v>11</v>
      </c>
      <c r="H22" s="812">
        <f t="shared" ref="H22:H32" si="1">F22*D22*G22*-1</f>
        <v>0</v>
      </c>
      <c r="I22" s="812"/>
      <c r="J22" s="812"/>
      <c r="K22" s="812">
        <f t="shared" ref="K22:K32" si="2">(-H22+D22)*-1</f>
        <v>0</v>
      </c>
    </row>
    <row r="23" spans="1:11" ht="15.75">
      <c r="A23" s="788" t="s">
        <v>186</v>
      </c>
      <c r="B23" s="788" t="str">
        <f t="shared" ref="B23:B32" si="3">B22</f>
        <v>Year 2018</v>
      </c>
      <c r="C23" s="788"/>
      <c r="D23" s="812">
        <f t="shared" ref="D23:D32" si="4">+D22</f>
        <v>0</v>
      </c>
      <c r="E23" s="812"/>
      <c r="F23" s="813">
        <f t="shared" ref="F23:F32" si="5">+F22</f>
        <v>4.0949999999999997E-3</v>
      </c>
      <c r="G23" s="814">
        <f t="shared" si="0"/>
        <v>10</v>
      </c>
      <c r="H23" s="812">
        <f t="shared" si="1"/>
        <v>0</v>
      </c>
      <c r="I23" s="812"/>
      <c r="J23" s="812"/>
      <c r="K23" s="812">
        <f t="shared" si="2"/>
        <v>0</v>
      </c>
    </row>
    <row r="24" spans="1:11" ht="15.75">
      <c r="A24" s="788" t="s">
        <v>187</v>
      </c>
      <c r="B24" s="788" t="str">
        <f t="shared" si="3"/>
        <v>Year 2018</v>
      </c>
      <c r="C24" s="788"/>
      <c r="D24" s="812">
        <f t="shared" si="4"/>
        <v>0</v>
      </c>
      <c r="E24" s="812"/>
      <c r="F24" s="813">
        <f t="shared" si="5"/>
        <v>4.0949999999999997E-3</v>
      </c>
      <c r="G24" s="814">
        <f t="shared" si="0"/>
        <v>9</v>
      </c>
      <c r="H24" s="812">
        <f t="shared" si="1"/>
        <v>0</v>
      </c>
      <c r="I24" s="812"/>
      <c r="J24" s="812"/>
      <c r="K24" s="812">
        <f t="shared" si="2"/>
        <v>0</v>
      </c>
    </row>
    <row r="25" spans="1:11" ht="15.75">
      <c r="A25" s="788" t="s">
        <v>188</v>
      </c>
      <c r="B25" s="788" t="str">
        <f t="shared" si="3"/>
        <v>Year 2018</v>
      </c>
      <c r="C25" s="788"/>
      <c r="D25" s="812">
        <f t="shared" si="4"/>
        <v>0</v>
      </c>
      <c r="E25" s="812"/>
      <c r="F25" s="813">
        <f t="shared" si="5"/>
        <v>4.0949999999999997E-3</v>
      </c>
      <c r="G25" s="814">
        <f t="shared" si="0"/>
        <v>8</v>
      </c>
      <c r="H25" s="812">
        <f t="shared" si="1"/>
        <v>0</v>
      </c>
      <c r="I25" s="812"/>
      <c r="J25" s="812"/>
      <c r="K25" s="812">
        <f t="shared" si="2"/>
        <v>0</v>
      </c>
    </row>
    <row r="26" spans="1:11" ht="15.75">
      <c r="A26" s="788" t="s">
        <v>382</v>
      </c>
      <c r="B26" s="788" t="str">
        <f t="shared" si="3"/>
        <v>Year 2018</v>
      </c>
      <c r="C26" s="788"/>
      <c r="D26" s="812">
        <f t="shared" si="4"/>
        <v>0</v>
      </c>
      <c r="E26" s="812"/>
      <c r="F26" s="813">
        <f t="shared" si="5"/>
        <v>4.0949999999999997E-3</v>
      </c>
      <c r="G26" s="814">
        <f t="shared" si="0"/>
        <v>7</v>
      </c>
      <c r="H26" s="812">
        <f t="shared" si="1"/>
        <v>0</v>
      </c>
      <c r="I26" s="812"/>
      <c r="J26" s="812"/>
      <c r="K26" s="812">
        <f t="shared" si="2"/>
        <v>0</v>
      </c>
    </row>
    <row r="27" spans="1:11" ht="15.75">
      <c r="A27" s="788" t="s">
        <v>189</v>
      </c>
      <c r="B27" s="788" t="str">
        <f t="shared" si="3"/>
        <v>Year 2018</v>
      </c>
      <c r="C27" s="788"/>
      <c r="D27" s="812">
        <f t="shared" si="4"/>
        <v>0</v>
      </c>
      <c r="E27" s="812"/>
      <c r="F27" s="813">
        <f t="shared" si="5"/>
        <v>4.0949999999999997E-3</v>
      </c>
      <c r="G27" s="814">
        <f t="shared" si="0"/>
        <v>6</v>
      </c>
      <c r="H27" s="812">
        <f t="shared" si="1"/>
        <v>0</v>
      </c>
      <c r="I27" s="812"/>
      <c r="J27" s="812"/>
      <c r="K27" s="812">
        <f t="shared" si="2"/>
        <v>0</v>
      </c>
    </row>
    <row r="28" spans="1:11" ht="15.75">
      <c r="A28" s="788" t="s">
        <v>190</v>
      </c>
      <c r="B28" s="788" t="str">
        <f t="shared" si="3"/>
        <v>Year 2018</v>
      </c>
      <c r="C28" s="788"/>
      <c r="D28" s="812">
        <f t="shared" si="4"/>
        <v>0</v>
      </c>
      <c r="E28" s="812"/>
      <c r="F28" s="813">
        <f t="shared" si="5"/>
        <v>4.0949999999999997E-3</v>
      </c>
      <c r="G28" s="814">
        <f t="shared" si="0"/>
        <v>5</v>
      </c>
      <c r="H28" s="812">
        <f t="shared" si="1"/>
        <v>0</v>
      </c>
      <c r="I28" s="812"/>
      <c r="J28" s="812"/>
      <c r="K28" s="812">
        <f t="shared" si="2"/>
        <v>0</v>
      </c>
    </row>
    <row r="29" spans="1:11" ht="15.75">
      <c r="A29" s="788" t="s">
        <v>192</v>
      </c>
      <c r="B29" s="788" t="str">
        <f t="shared" si="3"/>
        <v>Year 2018</v>
      </c>
      <c r="C29" s="788"/>
      <c r="D29" s="812">
        <f t="shared" si="4"/>
        <v>0</v>
      </c>
      <c r="E29" s="812"/>
      <c r="F29" s="813">
        <f t="shared" si="5"/>
        <v>4.0949999999999997E-3</v>
      </c>
      <c r="G29" s="814">
        <f t="shared" si="0"/>
        <v>4</v>
      </c>
      <c r="H29" s="812">
        <f t="shared" si="1"/>
        <v>0</v>
      </c>
      <c r="I29" s="812"/>
      <c r="J29" s="812"/>
      <c r="K29" s="812">
        <f t="shared" si="2"/>
        <v>0</v>
      </c>
    </row>
    <row r="30" spans="1:11" ht="15.75">
      <c r="A30" s="788" t="s">
        <v>559</v>
      </c>
      <c r="B30" s="788" t="str">
        <f t="shared" si="3"/>
        <v>Year 2018</v>
      </c>
      <c r="C30" s="788"/>
      <c r="D30" s="812">
        <f t="shared" si="4"/>
        <v>0</v>
      </c>
      <c r="E30" s="812"/>
      <c r="F30" s="813">
        <f t="shared" si="5"/>
        <v>4.0949999999999997E-3</v>
      </c>
      <c r="G30" s="814">
        <f t="shared" si="0"/>
        <v>3</v>
      </c>
      <c r="H30" s="812">
        <f t="shared" si="1"/>
        <v>0</v>
      </c>
      <c r="I30" s="812"/>
      <c r="J30" s="812"/>
      <c r="K30" s="812">
        <f t="shared" si="2"/>
        <v>0</v>
      </c>
    </row>
    <row r="31" spans="1:11" ht="15.75">
      <c r="A31" s="788" t="s">
        <v>560</v>
      </c>
      <c r="B31" s="788" t="str">
        <f t="shared" si="3"/>
        <v>Year 2018</v>
      </c>
      <c r="C31" s="788"/>
      <c r="D31" s="812">
        <f t="shared" si="4"/>
        <v>0</v>
      </c>
      <c r="E31" s="812"/>
      <c r="F31" s="813">
        <f t="shared" si="5"/>
        <v>4.0949999999999997E-3</v>
      </c>
      <c r="G31" s="814">
        <f t="shared" si="0"/>
        <v>2</v>
      </c>
      <c r="H31" s="812">
        <f t="shared" si="1"/>
        <v>0</v>
      </c>
      <c r="I31" s="812"/>
      <c r="J31" s="812"/>
      <c r="K31" s="812">
        <f t="shared" si="2"/>
        <v>0</v>
      </c>
    </row>
    <row r="32" spans="1:11" ht="15.75">
      <c r="A32" s="788" t="s">
        <v>191</v>
      </c>
      <c r="B32" s="788" t="str">
        <f t="shared" si="3"/>
        <v>Year 2018</v>
      </c>
      <c r="C32" s="788"/>
      <c r="D32" s="812">
        <f t="shared" si="4"/>
        <v>0</v>
      </c>
      <c r="E32" s="812"/>
      <c r="F32" s="813">
        <f t="shared" si="5"/>
        <v>4.0949999999999997E-3</v>
      </c>
      <c r="G32" s="814">
        <f t="shared" si="0"/>
        <v>1</v>
      </c>
      <c r="H32" s="815">
        <f t="shared" si="1"/>
        <v>0</v>
      </c>
      <c r="I32" s="812"/>
      <c r="J32" s="812"/>
      <c r="K32" s="812">
        <f t="shared" si="2"/>
        <v>0</v>
      </c>
    </row>
    <row r="33" spans="1:11" ht="15.75">
      <c r="A33" s="788"/>
      <c r="B33" s="788"/>
      <c r="C33" s="788"/>
      <c r="D33" s="812"/>
      <c r="E33" s="812"/>
      <c r="F33" s="813"/>
      <c r="G33" s="788"/>
      <c r="H33" s="812">
        <f>SUM(H21:H32)</f>
        <v>0</v>
      </c>
      <c r="I33" s="812"/>
      <c r="J33" s="812"/>
      <c r="K33" s="816">
        <f>SUM(K21:K32)</f>
        <v>0</v>
      </c>
    </row>
    <row r="34" spans="1:11" ht="15.75">
      <c r="A34" s="788"/>
      <c r="B34" s="788"/>
      <c r="C34" s="788"/>
      <c r="D34" s="812"/>
      <c r="E34" s="812"/>
      <c r="F34" s="813"/>
      <c r="G34" s="788"/>
      <c r="H34" s="812"/>
      <c r="I34" s="812" t="s">
        <v>114</v>
      </c>
      <c r="J34" s="812"/>
      <c r="K34" s="507"/>
    </row>
    <row r="35" spans="1:11" ht="15.75">
      <c r="A35" s="788"/>
      <c r="B35" s="788"/>
      <c r="C35" s="788"/>
      <c r="D35" s="798"/>
      <c r="E35" s="798"/>
      <c r="F35" s="813"/>
      <c r="G35" s="788"/>
      <c r="H35" s="817" t="s">
        <v>561</v>
      </c>
      <c r="I35" s="812"/>
      <c r="J35" s="812"/>
      <c r="K35" s="812"/>
    </row>
    <row r="36" spans="1:11" ht="15.75">
      <c r="A36" s="788" t="s">
        <v>562</v>
      </c>
      <c r="B36" s="788" t="str">
        <f>"Year 2019"</f>
        <v>Year 2019</v>
      </c>
      <c r="C36" s="788"/>
      <c r="D36" s="798">
        <f>K33</f>
        <v>0</v>
      </c>
      <c r="E36" s="798"/>
      <c r="F36" s="813">
        <f>+F32</f>
        <v>4.0949999999999997E-3</v>
      </c>
      <c r="G36" s="814">
        <v>12</v>
      </c>
      <c r="H36" s="812">
        <f>+G36*F36*D36</f>
        <v>0</v>
      </c>
      <c r="I36" s="812"/>
      <c r="J36" s="812"/>
      <c r="K36" s="816">
        <f>+D36+H36</f>
        <v>0</v>
      </c>
    </row>
    <row r="37" spans="1:11" ht="15.75">
      <c r="A37" s="788"/>
      <c r="B37" s="788"/>
      <c r="C37" s="788"/>
      <c r="D37" s="798"/>
      <c r="E37" s="798"/>
      <c r="F37" s="813"/>
      <c r="G37" s="788"/>
      <c r="H37" s="812"/>
      <c r="I37" s="812"/>
      <c r="J37" s="812"/>
      <c r="K37" s="812"/>
    </row>
    <row r="38" spans="1:11" ht="15.75">
      <c r="A38" s="818" t="s">
        <v>563</v>
      </c>
      <c r="B38" s="788"/>
      <c r="C38" s="788"/>
      <c r="D38" s="812"/>
      <c r="E38" s="812"/>
      <c r="F38" s="813"/>
      <c r="G38" s="788"/>
      <c r="H38" s="817" t="s">
        <v>557</v>
      </c>
      <c r="I38" s="812"/>
      <c r="J38" s="812"/>
      <c r="K38" s="812"/>
    </row>
    <row r="39" spans="1:11" ht="15.75">
      <c r="A39" s="788" t="s">
        <v>185</v>
      </c>
      <c r="B39" s="788" t="str">
        <f>"Year 2020"</f>
        <v>Year 2020</v>
      </c>
      <c r="C39" s="788"/>
      <c r="D39" s="819">
        <f>-K36</f>
        <v>0</v>
      </c>
      <c r="E39" s="798"/>
      <c r="F39" s="813">
        <f>+F32</f>
        <v>4.0949999999999997E-3</v>
      </c>
      <c r="G39" s="788"/>
      <c r="H39" s="812">
        <f xml:space="preserve"> -F39*D39</f>
        <v>0</v>
      </c>
      <c r="I39" s="812">
        <f>PMT(F39,12,K$36)</f>
        <v>0</v>
      </c>
      <c r="J39" s="812"/>
      <c r="K39" s="812">
        <f>(+D39+D39*F39-I39)*-1</f>
        <v>0</v>
      </c>
    </row>
    <row r="40" spans="1:11" ht="15.75">
      <c r="A40" s="788" t="s">
        <v>558</v>
      </c>
      <c r="B40" s="788" t="str">
        <f>+B39</f>
        <v>Year 2020</v>
      </c>
      <c r="C40" s="788"/>
      <c r="D40" s="798">
        <f>-K39</f>
        <v>0</v>
      </c>
      <c r="E40" s="798"/>
      <c r="F40" s="813">
        <f>+F39</f>
        <v>4.0949999999999997E-3</v>
      </c>
      <c r="G40" s="788"/>
      <c r="H40" s="812">
        <f xml:space="preserve"> -F40*D40</f>
        <v>0</v>
      </c>
      <c r="I40" s="812">
        <f>I39</f>
        <v>0</v>
      </c>
      <c r="J40" s="812"/>
      <c r="K40" s="812">
        <f t="shared" ref="K40:K50" si="6">(+D40+D40*F40-I40)*-1</f>
        <v>0</v>
      </c>
    </row>
    <row r="41" spans="1:11" ht="15.75">
      <c r="A41" s="788" t="s">
        <v>186</v>
      </c>
      <c r="B41" s="788" t="str">
        <f>+B40</f>
        <v>Year 2020</v>
      </c>
      <c r="C41" s="788"/>
      <c r="D41" s="798">
        <f t="shared" ref="D41:D50" si="7">-K40</f>
        <v>0</v>
      </c>
      <c r="E41" s="798"/>
      <c r="F41" s="813">
        <f t="shared" ref="F41:F50" si="8">+F40</f>
        <v>4.0949999999999997E-3</v>
      </c>
      <c r="G41" s="788"/>
      <c r="H41" s="812">
        <f t="shared" ref="H41:H50" si="9" xml:space="preserve"> -F41*D41</f>
        <v>0</v>
      </c>
      <c r="I41" s="812">
        <f t="shared" ref="I41:I50" si="10">I40</f>
        <v>0</v>
      </c>
      <c r="J41" s="812"/>
      <c r="K41" s="812">
        <f t="shared" si="6"/>
        <v>0</v>
      </c>
    </row>
    <row r="42" spans="1:11" ht="15.75">
      <c r="A42" s="788" t="s">
        <v>187</v>
      </c>
      <c r="B42" s="788" t="str">
        <f>+B41</f>
        <v>Year 2020</v>
      </c>
      <c r="C42" s="788"/>
      <c r="D42" s="798">
        <f t="shared" si="7"/>
        <v>0</v>
      </c>
      <c r="E42" s="798"/>
      <c r="F42" s="813">
        <f t="shared" si="8"/>
        <v>4.0949999999999997E-3</v>
      </c>
      <c r="G42" s="788"/>
      <c r="H42" s="812">
        <f t="shared" si="9"/>
        <v>0</v>
      </c>
      <c r="I42" s="812">
        <f t="shared" si="10"/>
        <v>0</v>
      </c>
      <c r="J42" s="812"/>
      <c r="K42" s="812">
        <f t="shared" si="6"/>
        <v>0</v>
      </c>
    </row>
    <row r="43" spans="1:11" ht="15.75">
      <c r="A43" s="788" t="s">
        <v>188</v>
      </c>
      <c r="B43" s="788" t="str">
        <f>+B42</f>
        <v>Year 2020</v>
      </c>
      <c r="C43" s="788"/>
      <c r="D43" s="798">
        <f t="shared" si="7"/>
        <v>0</v>
      </c>
      <c r="E43" s="798"/>
      <c r="F43" s="813">
        <f t="shared" si="8"/>
        <v>4.0949999999999997E-3</v>
      </c>
      <c r="G43" s="788"/>
      <c r="H43" s="812">
        <f t="shared" si="9"/>
        <v>0</v>
      </c>
      <c r="I43" s="812">
        <f>I42</f>
        <v>0</v>
      </c>
      <c r="J43" s="812"/>
      <c r="K43" s="812">
        <f t="shared" si="6"/>
        <v>0</v>
      </c>
    </row>
    <row r="44" spans="1:11" ht="15.75">
      <c r="A44" s="788" t="s">
        <v>382</v>
      </c>
      <c r="B44" s="788" t="str">
        <f>B43</f>
        <v>Year 2020</v>
      </c>
      <c r="C44" s="507"/>
      <c r="D44" s="798">
        <f t="shared" si="7"/>
        <v>0</v>
      </c>
      <c r="E44" s="798"/>
      <c r="F44" s="813">
        <f t="shared" si="8"/>
        <v>4.0949999999999997E-3</v>
      </c>
      <c r="G44" s="788"/>
      <c r="H44" s="812">
        <f t="shared" si="9"/>
        <v>0</v>
      </c>
      <c r="I44" s="812">
        <f t="shared" si="10"/>
        <v>0</v>
      </c>
      <c r="J44" s="812"/>
      <c r="K44" s="812">
        <f t="shared" si="6"/>
        <v>0</v>
      </c>
    </row>
    <row r="45" spans="1:11" ht="15.75">
      <c r="A45" s="788" t="s">
        <v>189</v>
      </c>
      <c r="B45" s="788" t="str">
        <f t="shared" ref="B45:B50" si="11">+B44</f>
        <v>Year 2020</v>
      </c>
      <c r="C45" s="788"/>
      <c r="D45" s="798">
        <f t="shared" si="7"/>
        <v>0</v>
      </c>
      <c r="E45" s="798"/>
      <c r="F45" s="813">
        <f t="shared" si="8"/>
        <v>4.0949999999999997E-3</v>
      </c>
      <c r="G45" s="788"/>
      <c r="H45" s="812">
        <f t="shared" si="9"/>
        <v>0</v>
      </c>
      <c r="I45" s="812">
        <f t="shared" si="10"/>
        <v>0</v>
      </c>
      <c r="J45" s="812"/>
      <c r="K45" s="812">
        <f t="shared" si="6"/>
        <v>0</v>
      </c>
    </row>
    <row r="46" spans="1:11" ht="15.75">
      <c r="A46" s="788" t="s">
        <v>190</v>
      </c>
      <c r="B46" s="788" t="str">
        <f t="shared" si="11"/>
        <v>Year 2020</v>
      </c>
      <c r="C46" s="788"/>
      <c r="D46" s="798">
        <f t="shared" si="7"/>
        <v>0</v>
      </c>
      <c r="E46" s="798"/>
      <c r="F46" s="813">
        <f t="shared" si="8"/>
        <v>4.0949999999999997E-3</v>
      </c>
      <c r="G46" s="788"/>
      <c r="H46" s="812">
        <f t="shared" si="9"/>
        <v>0</v>
      </c>
      <c r="I46" s="812">
        <f t="shared" si="10"/>
        <v>0</v>
      </c>
      <c r="J46" s="812"/>
      <c r="K46" s="812">
        <f t="shared" si="6"/>
        <v>0</v>
      </c>
    </row>
    <row r="47" spans="1:11" ht="15.75">
      <c r="A47" s="788" t="s">
        <v>192</v>
      </c>
      <c r="B47" s="788" t="str">
        <f t="shared" si="11"/>
        <v>Year 2020</v>
      </c>
      <c r="C47" s="788"/>
      <c r="D47" s="798">
        <f t="shared" si="7"/>
        <v>0</v>
      </c>
      <c r="E47" s="798"/>
      <c r="F47" s="813">
        <f t="shared" si="8"/>
        <v>4.0949999999999997E-3</v>
      </c>
      <c r="G47" s="788"/>
      <c r="H47" s="812">
        <f t="shared" si="9"/>
        <v>0</v>
      </c>
      <c r="I47" s="812">
        <f>I46</f>
        <v>0</v>
      </c>
      <c r="J47" s="812"/>
      <c r="K47" s="812">
        <f t="shared" si="6"/>
        <v>0</v>
      </c>
    </row>
    <row r="48" spans="1:11" ht="15.75">
      <c r="A48" s="788" t="s">
        <v>559</v>
      </c>
      <c r="B48" s="788" t="str">
        <f t="shared" si="11"/>
        <v>Year 2020</v>
      </c>
      <c r="C48" s="788"/>
      <c r="D48" s="798">
        <f t="shared" si="7"/>
        <v>0</v>
      </c>
      <c r="E48" s="798"/>
      <c r="F48" s="813">
        <f t="shared" si="8"/>
        <v>4.0949999999999997E-3</v>
      </c>
      <c r="G48" s="788"/>
      <c r="H48" s="812">
        <f t="shared" si="9"/>
        <v>0</v>
      </c>
      <c r="I48" s="812">
        <f t="shared" si="10"/>
        <v>0</v>
      </c>
      <c r="J48" s="812"/>
      <c r="K48" s="812">
        <f t="shared" si="6"/>
        <v>0</v>
      </c>
    </row>
    <row r="49" spans="1:11" ht="15.75">
      <c r="A49" s="788" t="s">
        <v>560</v>
      </c>
      <c r="B49" s="788" t="str">
        <f t="shared" si="11"/>
        <v>Year 2020</v>
      </c>
      <c r="C49" s="788"/>
      <c r="D49" s="798">
        <f t="shared" si="7"/>
        <v>0</v>
      </c>
      <c r="E49" s="798"/>
      <c r="F49" s="813">
        <f t="shared" si="8"/>
        <v>4.0949999999999997E-3</v>
      </c>
      <c r="G49" s="788"/>
      <c r="H49" s="812">
        <f t="shared" si="9"/>
        <v>0</v>
      </c>
      <c r="I49" s="812">
        <f t="shared" si="10"/>
        <v>0</v>
      </c>
      <c r="J49" s="812"/>
      <c r="K49" s="812">
        <f t="shared" si="6"/>
        <v>0</v>
      </c>
    </row>
    <row r="50" spans="1:11" ht="15.75">
      <c r="A50" s="788" t="s">
        <v>191</v>
      </c>
      <c r="B50" s="788" t="str">
        <f t="shared" si="11"/>
        <v>Year 2020</v>
      </c>
      <c r="C50" s="788"/>
      <c r="D50" s="798">
        <f t="shared" si="7"/>
        <v>0</v>
      </c>
      <c r="E50" s="798"/>
      <c r="F50" s="813">
        <f t="shared" si="8"/>
        <v>4.0949999999999997E-3</v>
      </c>
      <c r="G50" s="788"/>
      <c r="H50" s="815">
        <f t="shared" si="9"/>
        <v>0</v>
      </c>
      <c r="I50" s="812">
        <f t="shared" si="10"/>
        <v>0</v>
      </c>
      <c r="J50" s="812"/>
      <c r="K50" s="812">
        <f t="shared" si="6"/>
        <v>0</v>
      </c>
    </row>
    <row r="51" spans="1:11" ht="15.75">
      <c r="A51" s="788"/>
      <c r="B51" s="788"/>
      <c r="C51" s="788"/>
      <c r="D51" s="798"/>
      <c r="E51" s="798"/>
      <c r="F51" s="813"/>
      <c r="G51" s="788"/>
      <c r="H51" s="812">
        <f>SUM(H39:H50)</f>
        <v>0</v>
      </c>
      <c r="I51" s="812"/>
      <c r="J51" s="812"/>
      <c r="K51" s="812"/>
    </row>
    <row r="52" spans="1:11" ht="15">
      <c r="A52" s="507"/>
      <c r="B52" s="507"/>
      <c r="C52" s="507"/>
      <c r="D52" s="507"/>
      <c r="E52" s="507"/>
      <c r="F52" s="507"/>
      <c r="G52" s="507"/>
      <c r="H52" s="507"/>
      <c r="I52" s="820"/>
      <c r="J52" s="507"/>
      <c r="K52" s="507"/>
    </row>
    <row r="53" spans="1:11" ht="15.75">
      <c r="A53" s="788" t="s">
        <v>568</v>
      </c>
      <c r="B53" s="507"/>
      <c r="C53" s="507"/>
      <c r="D53" s="507"/>
      <c r="E53" s="507"/>
      <c r="F53" s="507"/>
      <c r="G53" s="507"/>
      <c r="H53" s="507"/>
      <c r="I53" s="821">
        <f>(SUM(I39:I50)*-1)</f>
        <v>0</v>
      </c>
      <c r="J53" s="507"/>
      <c r="K53" s="507"/>
    </row>
    <row r="54" spans="1:11" ht="15.75">
      <c r="A54" s="788" t="s">
        <v>564</v>
      </c>
      <c r="B54" s="507"/>
      <c r="C54" s="507"/>
      <c r="D54" s="507"/>
      <c r="E54" s="507"/>
      <c r="F54" s="507"/>
      <c r="G54" s="507"/>
      <c r="H54" s="507"/>
      <c r="I54" s="822">
        <f>+H10</f>
        <v>0</v>
      </c>
      <c r="J54" s="507"/>
      <c r="K54" s="507"/>
    </row>
    <row r="55" spans="1:11" ht="15.75">
      <c r="A55" s="788" t="s">
        <v>565</v>
      </c>
      <c r="B55" s="507"/>
      <c r="C55" s="507"/>
      <c r="D55" s="507"/>
      <c r="E55" s="507"/>
      <c r="F55" s="507"/>
      <c r="G55" s="507"/>
      <c r="H55" s="507"/>
      <c r="I55" s="821">
        <f>(I53+I54)</f>
        <v>0</v>
      </c>
      <c r="J55" s="507"/>
      <c r="K55" s="507"/>
    </row>
    <row r="56" spans="1:11">
      <c r="A56" s="401"/>
      <c r="B56" s="401"/>
      <c r="C56" s="401"/>
      <c r="D56" s="401"/>
      <c r="E56" s="401"/>
      <c r="F56" s="401"/>
      <c r="G56" s="401"/>
      <c r="H56" s="401"/>
      <c r="I56" s="401"/>
      <c r="J56" s="401"/>
      <c r="K56" s="401"/>
    </row>
    <row r="57" spans="1:11" ht="102" customHeight="1">
      <c r="A57" s="1663" t="s">
        <v>569</v>
      </c>
      <c r="B57" s="1663"/>
      <c r="C57" s="1663"/>
      <c r="D57" s="1663"/>
      <c r="E57" s="823"/>
      <c r="F57" s="823"/>
      <c r="G57" s="823"/>
      <c r="H57" s="823"/>
      <c r="I57" s="823"/>
      <c r="J57" s="823"/>
      <c r="K57" s="823"/>
    </row>
  </sheetData>
  <mergeCells count="5">
    <mergeCell ref="A1:K1"/>
    <mergeCell ref="A2:K2"/>
    <mergeCell ref="A3:K3"/>
    <mergeCell ref="D4:G4"/>
    <mergeCell ref="A57:D57"/>
  </mergeCells>
  <pageMargins left="0.7" right="0.7" top="0.75" bottom="0.75" header="0.3" footer="0.3"/>
  <pageSetup scale="55"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dimension ref="A1:K57"/>
  <sheetViews>
    <sheetView view="pageBreakPreview" topLeftCell="A7" zoomScale="60" zoomScaleNormal="100" workbookViewId="0">
      <selection activeCell="A8" sqref="A8:D8"/>
    </sheetView>
  </sheetViews>
  <sheetFormatPr defaultRowHeight="12.75"/>
  <cols>
    <col min="1" max="1" width="26.5703125" customWidth="1"/>
    <col min="4" max="4" width="27.5703125" customWidth="1"/>
    <col min="6" max="6" width="11.5703125" bestFit="1" customWidth="1"/>
    <col min="8" max="8" width="20.85546875" customWidth="1"/>
    <col min="9" max="9" width="16" customWidth="1"/>
    <col min="11" max="11" width="19.5703125" customWidth="1"/>
  </cols>
  <sheetData>
    <row r="1" spans="1:11" ht="15.75">
      <c r="A1" s="1661" t="s">
        <v>387</v>
      </c>
      <c r="B1" s="1661"/>
      <c r="C1" s="1661"/>
      <c r="D1" s="1661"/>
      <c r="E1" s="1661"/>
      <c r="F1" s="1661"/>
      <c r="G1" s="1661"/>
      <c r="H1" s="1661"/>
      <c r="I1" s="1661"/>
      <c r="J1" s="1661"/>
      <c r="K1" s="1661"/>
    </row>
    <row r="2" spans="1:11" ht="15.75">
      <c r="A2" s="1662" t="s">
        <v>566</v>
      </c>
      <c r="B2" s="1662"/>
      <c r="C2" s="1662"/>
      <c r="D2" s="1662"/>
      <c r="E2" s="1662"/>
      <c r="F2" s="1662"/>
      <c r="G2" s="1662"/>
      <c r="H2" s="1662"/>
      <c r="I2" s="1662"/>
      <c r="J2" s="1662"/>
      <c r="K2" s="1662"/>
    </row>
    <row r="3" spans="1:11" ht="15.75">
      <c r="A3" s="1662" t="s">
        <v>567</v>
      </c>
      <c r="B3" s="1662"/>
      <c r="C3" s="1662"/>
      <c r="D3" s="1662"/>
      <c r="E3" s="1662"/>
      <c r="F3" s="1662"/>
      <c r="G3" s="1662"/>
      <c r="H3" s="1662"/>
      <c r="I3" s="1662"/>
      <c r="J3" s="1662"/>
      <c r="K3" s="1662"/>
    </row>
    <row r="4" spans="1:11" ht="15.75">
      <c r="A4" s="507"/>
      <c r="B4" s="507"/>
      <c r="C4" s="507"/>
      <c r="D4" s="1662"/>
      <c r="E4" s="1662"/>
      <c r="F4" s="1662"/>
      <c r="G4" s="1662"/>
      <c r="H4" s="507"/>
      <c r="I4" s="507"/>
      <c r="J4" s="507"/>
      <c r="K4" s="507"/>
    </row>
    <row r="5" spans="1:11">
      <c r="A5" s="401"/>
      <c r="B5" s="401"/>
      <c r="C5" s="401"/>
      <c r="D5" s="401"/>
      <c r="E5" s="401"/>
      <c r="F5" s="401"/>
      <c r="G5" s="401"/>
      <c r="H5" s="401"/>
      <c r="I5" s="401"/>
      <c r="J5" s="401"/>
      <c r="K5" s="401"/>
    </row>
    <row r="6" spans="1:11">
      <c r="A6" s="401"/>
      <c r="B6" s="401"/>
      <c r="C6" s="401"/>
      <c r="D6" s="401"/>
      <c r="E6" s="401"/>
      <c r="F6" s="401"/>
      <c r="G6" s="401"/>
      <c r="H6" s="401"/>
      <c r="I6" s="401"/>
      <c r="J6" s="401"/>
      <c r="K6" s="401"/>
    </row>
    <row r="7" spans="1:11" ht="16.5" thickBot="1">
      <c r="A7" s="787"/>
      <c r="B7" s="788"/>
      <c r="C7" s="788"/>
      <c r="D7" s="788"/>
      <c r="E7" s="788"/>
      <c r="F7" s="788"/>
      <c r="G7" s="788"/>
      <c r="H7" s="788"/>
      <c r="I7" s="788"/>
      <c r="J7" s="788"/>
      <c r="K7" s="788"/>
    </row>
    <row r="8" spans="1:11" ht="47.25">
      <c r="A8" s="789" t="str">
        <f>"Reconciliation Revenue Requirement For Year 2018 Available May 25, 2019"</f>
        <v>Reconciliation Revenue Requirement For Year 2018 Available May 25, 2019</v>
      </c>
      <c r="B8" s="788"/>
      <c r="C8" s="788"/>
      <c r="D8" s="789" t="s">
        <v>1118</v>
      </c>
      <c r="E8" s="788"/>
      <c r="F8" s="788"/>
      <c r="G8" s="507"/>
      <c r="H8" s="789" t="s">
        <v>547</v>
      </c>
      <c r="I8" s="507"/>
      <c r="J8" s="507"/>
      <c r="K8" s="507"/>
    </row>
    <row r="9" spans="1:11" ht="15.75">
      <c r="A9" s="790" t="s">
        <v>114</v>
      </c>
      <c r="B9" s="788"/>
      <c r="C9" s="788"/>
      <c r="D9" s="790"/>
      <c r="E9" s="788"/>
      <c r="F9" s="788"/>
      <c r="G9" s="507"/>
      <c r="H9" s="791"/>
      <c r="I9" s="507"/>
      <c r="J9" s="507"/>
      <c r="K9" s="507"/>
    </row>
    <row r="10" spans="1:11" ht="16.5" thickBot="1">
      <c r="A10" s="873">
        <v>0</v>
      </c>
      <c r="B10" s="792" t="str">
        <f>"-"</f>
        <v>-</v>
      </c>
      <c r="C10" s="793"/>
      <c r="D10" s="873">
        <v>0</v>
      </c>
      <c r="E10" s="794"/>
      <c r="F10" s="795" t="str">
        <f>"="</f>
        <v>=</v>
      </c>
      <c r="G10" s="796"/>
      <c r="H10" s="797">
        <f>IF(A10=0,0,D10-A10)</f>
        <v>0</v>
      </c>
      <c r="I10" s="507"/>
      <c r="J10" s="507"/>
      <c r="K10" s="507"/>
    </row>
    <row r="11" spans="1:11" ht="15.75">
      <c r="A11" s="798"/>
      <c r="B11" s="799"/>
      <c r="C11" s="799"/>
      <c r="D11" s="798"/>
      <c r="E11" s="798"/>
      <c r="F11" s="799"/>
      <c r="G11" s="798"/>
      <c r="H11" s="507"/>
      <c r="I11" s="507"/>
      <c r="J11" s="507"/>
      <c r="K11" s="507"/>
    </row>
    <row r="12" spans="1:11" ht="16.5" thickBot="1">
      <c r="A12" s="800"/>
      <c r="B12" s="801"/>
      <c r="C12" s="801"/>
      <c r="D12" s="800"/>
      <c r="E12" s="800"/>
      <c r="F12" s="801"/>
      <c r="G12" s="800"/>
      <c r="H12" s="802"/>
      <c r="I12" s="802"/>
      <c r="J12" s="802"/>
      <c r="K12" s="802"/>
    </row>
    <row r="13" spans="1:11" ht="15.75">
      <c r="A13" s="803"/>
      <c r="B13" s="799"/>
      <c r="C13" s="799"/>
      <c r="D13" s="798"/>
      <c r="E13" s="798"/>
      <c r="F13" s="799"/>
      <c r="G13" s="798"/>
      <c r="H13" s="507"/>
      <c r="I13" s="507"/>
      <c r="J13" s="507"/>
      <c r="K13" s="507"/>
    </row>
    <row r="14" spans="1:11" ht="63">
      <c r="A14" s="804" t="s">
        <v>548</v>
      </c>
      <c r="B14" s="799"/>
      <c r="C14" s="799"/>
      <c r="D14" s="805" t="s">
        <v>549</v>
      </c>
      <c r="E14" s="798"/>
      <c r="F14" s="805" t="s">
        <v>550</v>
      </c>
      <c r="G14" s="806" t="s">
        <v>551</v>
      </c>
      <c r="H14" s="807" t="s">
        <v>552</v>
      </c>
      <c r="I14" s="805" t="s">
        <v>553</v>
      </c>
      <c r="J14" s="808"/>
      <c r="K14" s="805" t="s">
        <v>554</v>
      </c>
    </row>
    <row r="15" spans="1:11" ht="15.75">
      <c r="A15" s="804" t="s">
        <v>555</v>
      </c>
      <c r="B15" s="799"/>
      <c r="C15" s="799"/>
      <c r="D15" s="507"/>
      <c r="E15" s="809"/>
      <c r="F15" s="874">
        <f>'WSQ NSPR'!F15</f>
        <v>4.0949999999999997E-3</v>
      </c>
      <c r="G15" s="319"/>
      <c r="H15" s="507"/>
      <c r="I15" s="507"/>
      <c r="J15" s="507"/>
      <c r="K15" s="507"/>
    </row>
    <row r="16" spans="1:11" ht="15.75">
      <c r="A16" s="804"/>
      <c r="B16" s="799"/>
      <c r="C16" s="799"/>
      <c r="D16" s="507"/>
      <c r="E16" s="809"/>
      <c r="F16" s="809"/>
      <c r="G16" s="798"/>
      <c r="H16" s="507"/>
      <c r="I16" s="507"/>
      <c r="J16" s="507"/>
      <c r="K16" s="507"/>
    </row>
    <row r="17" spans="1:11" ht="15.75">
      <c r="A17" s="804" t="s">
        <v>1119</v>
      </c>
      <c r="B17" s="799"/>
      <c r="C17" s="799"/>
      <c r="D17" s="507"/>
      <c r="E17" s="809"/>
      <c r="F17" s="809"/>
      <c r="G17" s="798"/>
      <c r="H17" s="507"/>
      <c r="I17" s="507"/>
      <c r="J17" s="507"/>
      <c r="K17" s="507"/>
    </row>
    <row r="18" spans="1:11" ht="15.75">
      <c r="A18" s="810" t="s">
        <v>114</v>
      </c>
      <c r="B18" s="799"/>
      <c r="C18" s="799"/>
      <c r="D18" s="799"/>
      <c r="E18" s="799"/>
      <c r="F18" s="799" t="s">
        <v>114</v>
      </c>
      <c r="G18" s="507"/>
      <c r="H18" s="507"/>
      <c r="I18" s="507"/>
      <c r="J18" s="507"/>
      <c r="K18" s="507"/>
    </row>
    <row r="19" spans="1:11" ht="15.75">
      <c r="A19" s="811"/>
      <c r="B19" s="799"/>
      <c r="C19" s="799"/>
      <c r="D19" s="799"/>
      <c r="E19" s="799"/>
      <c r="F19" s="507"/>
      <c r="G19" s="507"/>
      <c r="H19" s="806"/>
      <c r="I19" s="799"/>
      <c r="J19" s="799"/>
      <c r="K19" s="799"/>
    </row>
    <row r="20" spans="1:11" ht="15.75">
      <c r="A20" s="811" t="s">
        <v>556</v>
      </c>
      <c r="B20" s="799"/>
      <c r="C20" s="799"/>
      <c r="D20" s="799"/>
      <c r="E20" s="799"/>
      <c r="F20" s="507"/>
      <c r="G20" s="507"/>
      <c r="H20" s="806" t="s">
        <v>557</v>
      </c>
      <c r="I20" s="799"/>
      <c r="J20" s="799"/>
      <c r="K20" s="799"/>
    </row>
    <row r="21" spans="1:11" ht="15.75">
      <c r="A21" s="788" t="s">
        <v>185</v>
      </c>
      <c r="B21" s="788" t="str">
        <f>"Year 2018"</f>
        <v>Year 2018</v>
      </c>
      <c r="C21" s="788"/>
      <c r="D21" s="812">
        <f>H10/12</f>
        <v>0</v>
      </c>
      <c r="E21" s="812"/>
      <c r="F21" s="813">
        <f>+F15</f>
        <v>4.0949999999999997E-3</v>
      </c>
      <c r="G21" s="814">
        <v>12</v>
      </c>
      <c r="H21" s="812">
        <f>F21*D21*G21*-1</f>
        <v>0</v>
      </c>
      <c r="I21" s="812"/>
      <c r="J21" s="812"/>
      <c r="K21" s="812">
        <f>(-H21+D21)*-1</f>
        <v>0</v>
      </c>
    </row>
    <row r="22" spans="1:11" ht="15.75">
      <c r="A22" s="788" t="s">
        <v>558</v>
      </c>
      <c r="B22" s="788" t="str">
        <f>B21</f>
        <v>Year 2018</v>
      </c>
      <c r="C22" s="788"/>
      <c r="D22" s="812">
        <f>+D21</f>
        <v>0</v>
      </c>
      <c r="E22" s="812"/>
      <c r="F22" s="813">
        <f>+F21</f>
        <v>4.0949999999999997E-3</v>
      </c>
      <c r="G22" s="814">
        <f t="shared" ref="G22:G32" si="0">+G21-1</f>
        <v>11</v>
      </c>
      <c r="H22" s="812">
        <f t="shared" ref="H22:H32" si="1">F22*D22*G22*-1</f>
        <v>0</v>
      </c>
      <c r="I22" s="812"/>
      <c r="J22" s="812"/>
      <c r="K22" s="812">
        <f t="shared" ref="K22:K32" si="2">(-H22+D22)*-1</f>
        <v>0</v>
      </c>
    </row>
    <row r="23" spans="1:11" ht="15.75">
      <c r="A23" s="788" t="s">
        <v>186</v>
      </c>
      <c r="B23" s="788" t="str">
        <f t="shared" ref="B23:B32" si="3">B22</f>
        <v>Year 2018</v>
      </c>
      <c r="C23" s="788"/>
      <c r="D23" s="812">
        <f t="shared" ref="D23:D32" si="4">+D22</f>
        <v>0</v>
      </c>
      <c r="E23" s="812"/>
      <c r="F23" s="813">
        <f t="shared" ref="F23:F32" si="5">+F22</f>
        <v>4.0949999999999997E-3</v>
      </c>
      <c r="G23" s="814">
        <f t="shared" si="0"/>
        <v>10</v>
      </c>
      <c r="H23" s="812">
        <f t="shared" si="1"/>
        <v>0</v>
      </c>
      <c r="I23" s="812"/>
      <c r="J23" s="812"/>
      <c r="K23" s="812">
        <f t="shared" si="2"/>
        <v>0</v>
      </c>
    </row>
    <row r="24" spans="1:11" ht="15.75">
      <c r="A24" s="788" t="s">
        <v>187</v>
      </c>
      <c r="B24" s="788" t="str">
        <f t="shared" si="3"/>
        <v>Year 2018</v>
      </c>
      <c r="C24" s="788"/>
      <c r="D24" s="812">
        <f t="shared" si="4"/>
        <v>0</v>
      </c>
      <c r="E24" s="812"/>
      <c r="F24" s="813">
        <f t="shared" si="5"/>
        <v>4.0949999999999997E-3</v>
      </c>
      <c r="G24" s="814">
        <f t="shared" si="0"/>
        <v>9</v>
      </c>
      <c r="H24" s="812">
        <f t="shared" si="1"/>
        <v>0</v>
      </c>
      <c r="I24" s="812"/>
      <c r="J24" s="812"/>
      <c r="K24" s="812">
        <f t="shared" si="2"/>
        <v>0</v>
      </c>
    </row>
    <row r="25" spans="1:11" ht="15.75">
      <c r="A25" s="788" t="s">
        <v>188</v>
      </c>
      <c r="B25" s="788" t="str">
        <f t="shared" si="3"/>
        <v>Year 2018</v>
      </c>
      <c r="C25" s="788"/>
      <c r="D25" s="812">
        <f t="shared" si="4"/>
        <v>0</v>
      </c>
      <c r="E25" s="812"/>
      <c r="F25" s="813">
        <f t="shared" si="5"/>
        <v>4.0949999999999997E-3</v>
      </c>
      <c r="G25" s="814">
        <f t="shared" si="0"/>
        <v>8</v>
      </c>
      <c r="H25" s="812">
        <f t="shared" si="1"/>
        <v>0</v>
      </c>
      <c r="I25" s="812"/>
      <c r="J25" s="812"/>
      <c r="K25" s="812">
        <f t="shared" si="2"/>
        <v>0</v>
      </c>
    </row>
    <row r="26" spans="1:11" ht="15.75">
      <c r="A26" s="788" t="s">
        <v>382</v>
      </c>
      <c r="B26" s="788" t="str">
        <f t="shared" si="3"/>
        <v>Year 2018</v>
      </c>
      <c r="C26" s="788"/>
      <c r="D26" s="812">
        <f t="shared" si="4"/>
        <v>0</v>
      </c>
      <c r="E26" s="812"/>
      <c r="F26" s="813">
        <f t="shared" si="5"/>
        <v>4.0949999999999997E-3</v>
      </c>
      <c r="G26" s="814">
        <f t="shared" si="0"/>
        <v>7</v>
      </c>
      <c r="H26" s="812">
        <f t="shared" si="1"/>
        <v>0</v>
      </c>
      <c r="I26" s="812"/>
      <c r="J26" s="812"/>
      <c r="K26" s="812">
        <f t="shared" si="2"/>
        <v>0</v>
      </c>
    </row>
    <row r="27" spans="1:11" ht="15.75">
      <c r="A27" s="788" t="s">
        <v>189</v>
      </c>
      <c r="B27" s="788" t="str">
        <f t="shared" si="3"/>
        <v>Year 2018</v>
      </c>
      <c r="C27" s="788"/>
      <c r="D27" s="812">
        <f t="shared" si="4"/>
        <v>0</v>
      </c>
      <c r="E27" s="812"/>
      <c r="F27" s="813">
        <f t="shared" si="5"/>
        <v>4.0949999999999997E-3</v>
      </c>
      <c r="G27" s="814">
        <f t="shared" si="0"/>
        <v>6</v>
      </c>
      <c r="H27" s="812">
        <f t="shared" si="1"/>
        <v>0</v>
      </c>
      <c r="I27" s="812"/>
      <c r="J27" s="812"/>
      <c r="K27" s="812">
        <f t="shared" si="2"/>
        <v>0</v>
      </c>
    </row>
    <row r="28" spans="1:11" ht="15.75">
      <c r="A28" s="788" t="s">
        <v>190</v>
      </c>
      <c r="B28" s="788" t="str">
        <f t="shared" si="3"/>
        <v>Year 2018</v>
      </c>
      <c r="C28" s="788"/>
      <c r="D28" s="812">
        <f t="shared" si="4"/>
        <v>0</v>
      </c>
      <c r="E28" s="812"/>
      <c r="F28" s="813">
        <f t="shared" si="5"/>
        <v>4.0949999999999997E-3</v>
      </c>
      <c r="G28" s="814">
        <f t="shared" si="0"/>
        <v>5</v>
      </c>
      <c r="H28" s="812">
        <f t="shared" si="1"/>
        <v>0</v>
      </c>
      <c r="I28" s="812"/>
      <c r="J28" s="812"/>
      <c r="K28" s="812">
        <f t="shared" si="2"/>
        <v>0</v>
      </c>
    </row>
    <row r="29" spans="1:11" ht="15.75">
      <c r="A29" s="788" t="s">
        <v>192</v>
      </c>
      <c r="B29" s="788" t="str">
        <f t="shared" si="3"/>
        <v>Year 2018</v>
      </c>
      <c r="C29" s="788"/>
      <c r="D29" s="812">
        <f t="shared" si="4"/>
        <v>0</v>
      </c>
      <c r="E29" s="812"/>
      <c r="F29" s="813">
        <f t="shared" si="5"/>
        <v>4.0949999999999997E-3</v>
      </c>
      <c r="G29" s="814">
        <f t="shared" si="0"/>
        <v>4</v>
      </c>
      <c r="H29" s="812">
        <f t="shared" si="1"/>
        <v>0</v>
      </c>
      <c r="I29" s="812"/>
      <c r="J29" s="812"/>
      <c r="K29" s="812">
        <f t="shared" si="2"/>
        <v>0</v>
      </c>
    </row>
    <row r="30" spans="1:11" ht="15.75">
      <c r="A30" s="788" t="s">
        <v>559</v>
      </c>
      <c r="B30" s="788" t="str">
        <f t="shared" si="3"/>
        <v>Year 2018</v>
      </c>
      <c r="C30" s="788"/>
      <c r="D30" s="812">
        <f t="shared" si="4"/>
        <v>0</v>
      </c>
      <c r="E30" s="812"/>
      <c r="F30" s="813">
        <f t="shared" si="5"/>
        <v>4.0949999999999997E-3</v>
      </c>
      <c r="G30" s="814">
        <f t="shared" si="0"/>
        <v>3</v>
      </c>
      <c r="H30" s="812">
        <f t="shared" si="1"/>
        <v>0</v>
      </c>
      <c r="I30" s="812"/>
      <c r="J30" s="812"/>
      <c r="K30" s="812">
        <f t="shared" si="2"/>
        <v>0</v>
      </c>
    </row>
    <row r="31" spans="1:11" ht="15.75">
      <c r="A31" s="788" t="s">
        <v>560</v>
      </c>
      <c r="B31" s="788" t="str">
        <f t="shared" si="3"/>
        <v>Year 2018</v>
      </c>
      <c r="C31" s="788"/>
      <c r="D31" s="812">
        <f t="shared" si="4"/>
        <v>0</v>
      </c>
      <c r="E31" s="812"/>
      <c r="F31" s="813">
        <f t="shared" si="5"/>
        <v>4.0949999999999997E-3</v>
      </c>
      <c r="G31" s="814">
        <f t="shared" si="0"/>
        <v>2</v>
      </c>
      <c r="H31" s="812">
        <f t="shared" si="1"/>
        <v>0</v>
      </c>
      <c r="I31" s="812"/>
      <c r="J31" s="812"/>
      <c r="K31" s="812">
        <f t="shared" si="2"/>
        <v>0</v>
      </c>
    </row>
    <row r="32" spans="1:11" ht="15.75">
      <c r="A32" s="788" t="s">
        <v>191</v>
      </c>
      <c r="B32" s="788" t="str">
        <f t="shared" si="3"/>
        <v>Year 2018</v>
      </c>
      <c r="C32" s="788"/>
      <c r="D32" s="812">
        <f t="shared" si="4"/>
        <v>0</v>
      </c>
      <c r="E32" s="812"/>
      <c r="F32" s="813">
        <f t="shared" si="5"/>
        <v>4.0949999999999997E-3</v>
      </c>
      <c r="G32" s="814">
        <f t="shared" si="0"/>
        <v>1</v>
      </c>
      <c r="H32" s="815">
        <f t="shared" si="1"/>
        <v>0</v>
      </c>
      <c r="I32" s="812"/>
      <c r="J32" s="812"/>
      <c r="K32" s="812">
        <f t="shared" si="2"/>
        <v>0</v>
      </c>
    </row>
    <row r="33" spans="1:11" ht="15.75">
      <c r="A33" s="788"/>
      <c r="B33" s="788"/>
      <c r="C33" s="788"/>
      <c r="D33" s="812"/>
      <c r="E33" s="812"/>
      <c r="F33" s="813"/>
      <c r="G33" s="788"/>
      <c r="H33" s="812">
        <f>SUM(H21:H32)</f>
        <v>0</v>
      </c>
      <c r="I33" s="812"/>
      <c r="J33" s="812"/>
      <c r="K33" s="816">
        <f>SUM(K21:K32)</f>
        <v>0</v>
      </c>
    </row>
    <row r="34" spans="1:11" ht="15.75">
      <c r="A34" s="788"/>
      <c r="B34" s="788"/>
      <c r="C34" s="788"/>
      <c r="D34" s="812"/>
      <c r="E34" s="812"/>
      <c r="F34" s="813"/>
      <c r="G34" s="788"/>
      <c r="H34" s="812"/>
      <c r="I34" s="812" t="s">
        <v>114</v>
      </c>
      <c r="J34" s="812"/>
      <c r="K34" s="507"/>
    </row>
    <row r="35" spans="1:11" ht="15.75">
      <c r="A35" s="788"/>
      <c r="B35" s="788"/>
      <c r="C35" s="788"/>
      <c r="D35" s="798"/>
      <c r="E35" s="798"/>
      <c r="F35" s="813"/>
      <c r="G35" s="788"/>
      <c r="H35" s="817" t="s">
        <v>561</v>
      </c>
      <c r="I35" s="812"/>
      <c r="J35" s="812"/>
      <c r="K35" s="812"/>
    </row>
    <row r="36" spans="1:11" ht="15.75">
      <c r="A36" s="788" t="s">
        <v>562</v>
      </c>
      <c r="B36" s="788" t="str">
        <f>"Year 2019"</f>
        <v>Year 2019</v>
      </c>
      <c r="C36" s="788"/>
      <c r="D36" s="798">
        <f>K33</f>
        <v>0</v>
      </c>
      <c r="E36" s="798"/>
      <c r="F36" s="813">
        <f>+F32</f>
        <v>4.0949999999999997E-3</v>
      </c>
      <c r="G36" s="814">
        <v>12</v>
      </c>
      <c r="H36" s="812">
        <f>+G36*F36*D36</f>
        <v>0</v>
      </c>
      <c r="I36" s="812"/>
      <c r="J36" s="812"/>
      <c r="K36" s="816">
        <f>+D36+H36</f>
        <v>0</v>
      </c>
    </row>
    <row r="37" spans="1:11" ht="15.75">
      <c r="A37" s="788"/>
      <c r="B37" s="788"/>
      <c r="C37" s="788"/>
      <c r="D37" s="798"/>
      <c r="E37" s="798"/>
      <c r="F37" s="813"/>
      <c r="G37" s="788"/>
      <c r="H37" s="812"/>
      <c r="I37" s="812"/>
      <c r="J37" s="812"/>
      <c r="K37" s="812"/>
    </row>
    <row r="38" spans="1:11" ht="15.75">
      <c r="A38" s="818" t="s">
        <v>563</v>
      </c>
      <c r="B38" s="788"/>
      <c r="C38" s="788"/>
      <c r="D38" s="812"/>
      <c r="E38" s="812"/>
      <c r="F38" s="813"/>
      <c r="G38" s="788"/>
      <c r="H38" s="817" t="s">
        <v>557</v>
      </c>
      <c r="I38" s="812"/>
      <c r="J38" s="812"/>
      <c r="K38" s="812"/>
    </row>
    <row r="39" spans="1:11" ht="15.75">
      <c r="A39" s="788" t="s">
        <v>185</v>
      </c>
      <c r="B39" s="788" t="str">
        <f>"Year 2020"</f>
        <v>Year 2020</v>
      </c>
      <c r="C39" s="788"/>
      <c r="D39" s="819">
        <f>-K36</f>
        <v>0</v>
      </c>
      <c r="E39" s="798"/>
      <c r="F39" s="813">
        <f>+F32</f>
        <v>4.0949999999999997E-3</v>
      </c>
      <c r="G39" s="788"/>
      <c r="H39" s="812">
        <f xml:space="preserve"> -F39*D39</f>
        <v>0</v>
      </c>
      <c r="I39" s="812">
        <f>PMT(F39,12,K$36)</f>
        <v>0</v>
      </c>
      <c r="J39" s="812"/>
      <c r="K39" s="812">
        <f>(+D39+D39*F39-I39)*-1</f>
        <v>0</v>
      </c>
    </row>
    <row r="40" spans="1:11" ht="15.75">
      <c r="A40" s="788" t="s">
        <v>558</v>
      </c>
      <c r="B40" s="788" t="str">
        <f>+B39</f>
        <v>Year 2020</v>
      </c>
      <c r="C40" s="788"/>
      <c r="D40" s="798">
        <f>-K39</f>
        <v>0</v>
      </c>
      <c r="E40" s="798"/>
      <c r="F40" s="813">
        <f>+F39</f>
        <v>4.0949999999999997E-3</v>
      </c>
      <c r="G40" s="788"/>
      <c r="H40" s="812">
        <f xml:space="preserve"> -F40*D40</f>
        <v>0</v>
      </c>
      <c r="I40" s="812">
        <f>I39</f>
        <v>0</v>
      </c>
      <c r="J40" s="812"/>
      <c r="K40" s="812">
        <f t="shared" ref="K40:K50" si="6">(+D40+D40*F40-I40)*-1</f>
        <v>0</v>
      </c>
    </row>
    <row r="41" spans="1:11" ht="15.75">
      <c r="A41" s="788" t="s">
        <v>186</v>
      </c>
      <c r="B41" s="788" t="str">
        <f>+B40</f>
        <v>Year 2020</v>
      </c>
      <c r="C41" s="788"/>
      <c r="D41" s="798">
        <f t="shared" ref="D41:D50" si="7">-K40</f>
        <v>0</v>
      </c>
      <c r="E41" s="798"/>
      <c r="F41" s="813">
        <f t="shared" ref="F41:F50" si="8">+F40</f>
        <v>4.0949999999999997E-3</v>
      </c>
      <c r="G41" s="788"/>
      <c r="H41" s="812">
        <f t="shared" ref="H41:H50" si="9" xml:space="preserve"> -F41*D41</f>
        <v>0</v>
      </c>
      <c r="I41" s="812">
        <f t="shared" ref="I41:I50" si="10">I40</f>
        <v>0</v>
      </c>
      <c r="J41" s="812"/>
      <c r="K41" s="812">
        <f t="shared" si="6"/>
        <v>0</v>
      </c>
    </row>
    <row r="42" spans="1:11" ht="15.75">
      <c r="A42" s="788" t="s">
        <v>187</v>
      </c>
      <c r="B42" s="788" t="str">
        <f>+B41</f>
        <v>Year 2020</v>
      </c>
      <c r="C42" s="788"/>
      <c r="D42" s="798">
        <f t="shared" si="7"/>
        <v>0</v>
      </c>
      <c r="E42" s="798"/>
      <c r="F42" s="813">
        <f t="shared" si="8"/>
        <v>4.0949999999999997E-3</v>
      </c>
      <c r="G42" s="788"/>
      <c r="H42" s="812">
        <f t="shared" si="9"/>
        <v>0</v>
      </c>
      <c r="I42" s="812">
        <f t="shared" si="10"/>
        <v>0</v>
      </c>
      <c r="J42" s="812"/>
      <c r="K42" s="812">
        <f t="shared" si="6"/>
        <v>0</v>
      </c>
    </row>
    <row r="43" spans="1:11" ht="15.75">
      <c r="A43" s="788" t="s">
        <v>188</v>
      </c>
      <c r="B43" s="788" t="str">
        <f>+B42</f>
        <v>Year 2020</v>
      </c>
      <c r="C43" s="788"/>
      <c r="D43" s="798">
        <f t="shared" si="7"/>
        <v>0</v>
      </c>
      <c r="E43" s="798"/>
      <c r="F43" s="813">
        <f t="shared" si="8"/>
        <v>4.0949999999999997E-3</v>
      </c>
      <c r="G43" s="788"/>
      <c r="H43" s="812">
        <f t="shared" si="9"/>
        <v>0</v>
      </c>
      <c r="I43" s="812">
        <f>I42</f>
        <v>0</v>
      </c>
      <c r="J43" s="812"/>
      <c r="K43" s="812">
        <f t="shared" si="6"/>
        <v>0</v>
      </c>
    </row>
    <row r="44" spans="1:11" ht="15.75">
      <c r="A44" s="788" t="s">
        <v>382</v>
      </c>
      <c r="B44" s="788" t="str">
        <f>B43</f>
        <v>Year 2020</v>
      </c>
      <c r="C44" s="507"/>
      <c r="D44" s="798">
        <f t="shared" si="7"/>
        <v>0</v>
      </c>
      <c r="E44" s="798"/>
      <c r="F44" s="813">
        <f t="shared" si="8"/>
        <v>4.0949999999999997E-3</v>
      </c>
      <c r="G44" s="788"/>
      <c r="H44" s="812">
        <f t="shared" si="9"/>
        <v>0</v>
      </c>
      <c r="I44" s="812">
        <f t="shared" si="10"/>
        <v>0</v>
      </c>
      <c r="J44" s="812"/>
      <c r="K44" s="812">
        <f t="shared" si="6"/>
        <v>0</v>
      </c>
    </row>
    <row r="45" spans="1:11" ht="15.75">
      <c r="A45" s="788" t="s">
        <v>189</v>
      </c>
      <c r="B45" s="788" t="str">
        <f t="shared" ref="B45:B50" si="11">+B44</f>
        <v>Year 2020</v>
      </c>
      <c r="C45" s="788"/>
      <c r="D45" s="798">
        <f t="shared" si="7"/>
        <v>0</v>
      </c>
      <c r="E45" s="798"/>
      <c r="F45" s="813">
        <f t="shared" si="8"/>
        <v>4.0949999999999997E-3</v>
      </c>
      <c r="G45" s="788"/>
      <c r="H45" s="812">
        <f t="shared" si="9"/>
        <v>0</v>
      </c>
      <c r="I45" s="812">
        <f t="shared" si="10"/>
        <v>0</v>
      </c>
      <c r="J45" s="812"/>
      <c r="K45" s="812">
        <f t="shared" si="6"/>
        <v>0</v>
      </c>
    </row>
    <row r="46" spans="1:11" ht="15.75">
      <c r="A46" s="788" t="s">
        <v>190</v>
      </c>
      <c r="B46" s="788" t="str">
        <f t="shared" si="11"/>
        <v>Year 2020</v>
      </c>
      <c r="C46" s="788"/>
      <c r="D46" s="798">
        <f t="shared" si="7"/>
        <v>0</v>
      </c>
      <c r="E46" s="798"/>
      <c r="F46" s="813">
        <f t="shared" si="8"/>
        <v>4.0949999999999997E-3</v>
      </c>
      <c r="G46" s="788"/>
      <c r="H46" s="812">
        <f t="shared" si="9"/>
        <v>0</v>
      </c>
      <c r="I46" s="812">
        <f t="shared" si="10"/>
        <v>0</v>
      </c>
      <c r="J46" s="812"/>
      <c r="K46" s="812">
        <f t="shared" si="6"/>
        <v>0</v>
      </c>
    </row>
    <row r="47" spans="1:11" ht="15.75">
      <c r="A47" s="788" t="s">
        <v>192</v>
      </c>
      <c r="B47" s="788" t="str">
        <f t="shared" si="11"/>
        <v>Year 2020</v>
      </c>
      <c r="C47" s="788"/>
      <c r="D47" s="798">
        <f t="shared" si="7"/>
        <v>0</v>
      </c>
      <c r="E47" s="798"/>
      <c r="F47" s="813">
        <f t="shared" si="8"/>
        <v>4.0949999999999997E-3</v>
      </c>
      <c r="G47" s="788"/>
      <c r="H47" s="812">
        <f t="shared" si="9"/>
        <v>0</v>
      </c>
      <c r="I47" s="812">
        <f>I46</f>
        <v>0</v>
      </c>
      <c r="J47" s="812"/>
      <c r="K47" s="812">
        <f t="shared" si="6"/>
        <v>0</v>
      </c>
    </row>
    <row r="48" spans="1:11" ht="15.75">
      <c r="A48" s="788" t="s">
        <v>559</v>
      </c>
      <c r="B48" s="788" t="str">
        <f t="shared" si="11"/>
        <v>Year 2020</v>
      </c>
      <c r="C48" s="788"/>
      <c r="D48" s="798">
        <f t="shared" si="7"/>
        <v>0</v>
      </c>
      <c r="E48" s="798"/>
      <c r="F48" s="813">
        <f t="shared" si="8"/>
        <v>4.0949999999999997E-3</v>
      </c>
      <c r="G48" s="788"/>
      <c r="H48" s="812">
        <f t="shared" si="9"/>
        <v>0</v>
      </c>
      <c r="I48" s="812">
        <f t="shared" si="10"/>
        <v>0</v>
      </c>
      <c r="J48" s="812"/>
      <c r="K48" s="812">
        <f t="shared" si="6"/>
        <v>0</v>
      </c>
    </row>
    <row r="49" spans="1:11" ht="15.75">
      <c r="A49" s="788" t="s">
        <v>560</v>
      </c>
      <c r="B49" s="788" t="str">
        <f t="shared" si="11"/>
        <v>Year 2020</v>
      </c>
      <c r="C49" s="788"/>
      <c r="D49" s="798">
        <f t="shared" si="7"/>
        <v>0</v>
      </c>
      <c r="E49" s="798"/>
      <c r="F49" s="813">
        <f t="shared" si="8"/>
        <v>4.0949999999999997E-3</v>
      </c>
      <c r="G49" s="788"/>
      <c r="H49" s="812">
        <f t="shared" si="9"/>
        <v>0</v>
      </c>
      <c r="I49" s="812">
        <f t="shared" si="10"/>
        <v>0</v>
      </c>
      <c r="J49" s="812"/>
      <c r="K49" s="812">
        <f t="shared" si="6"/>
        <v>0</v>
      </c>
    </row>
    <row r="50" spans="1:11" ht="15.75">
      <c r="A50" s="788" t="s">
        <v>191</v>
      </c>
      <c r="B50" s="788" t="str">
        <f t="shared" si="11"/>
        <v>Year 2020</v>
      </c>
      <c r="C50" s="788"/>
      <c r="D50" s="798">
        <f t="shared" si="7"/>
        <v>0</v>
      </c>
      <c r="E50" s="798"/>
      <c r="F50" s="813">
        <f t="shared" si="8"/>
        <v>4.0949999999999997E-3</v>
      </c>
      <c r="G50" s="788"/>
      <c r="H50" s="815">
        <f t="shared" si="9"/>
        <v>0</v>
      </c>
      <c r="I50" s="812">
        <f t="shared" si="10"/>
        <v>0</v>
      </c>
      <c r="J50" s="812"/>
      <c r="K50" s="812">
        <f t="shared" si="6"/>
        <v>0</v>
      </c>
    </row>
    <row r="51" spans="1:11" ht="15.75">
      <c r="A51" s="788"/>
      <c r="B51" s="788"/>
      <c r="C51" s="788"/>
      <c r="D51" s="798"/>
      <c r="E51" s="798"/>
      <c r="F51" s="813"/>
      <c r="G51" s="788"/>
      <c r="H51" s="812">
        <f>SUM(H39:H50)</f>
        <v>0</v>
      </c>
      <c r="I51" s="812"/>
      <c r="J51" s="812"/>
      <c r="K51" s="812"/>
    </row>
    <row r="52" spans="1:11" ht="15">
      <c r="A52" s="507"/>
      <c r="B52" s="507"/>
      <c r="C52" s="507"/>
      <c r="D52" s="507"/>
      <c r="E52" s="507"/>
      <c r="F52" s="507"/>
      <c r="G52" s="507"/>
      <c r="H52" s="507"/>
      <c r="I52" s="820"/>
      <c r="J52" s="507"/>
      <c r="K52" s="507"/>
    </row>
    <row r="53" spans="1:11" ht="15.75">
      <c r="A53" s="788" t="s">
        <v>568</v>
      </c>
      <c r="B53" s="507"/>
      <c r="C53" s="507"/>
      <c r="D53" s="507"/>
      <c r="E53" s="507"/>
      <c r="F53" s="507"/>
      <c r="G53" s="507"/>
      <c r="H53" s="507"/>
      <c r="I53" s="821">
        <f>(SUM(I39:I50)*-1)</f>
        <v>0</v>
      </c>
      <c r="J53" s="507"/>
      <c r="K53" s="507"/>
    </row>
    <row r="54" spans="1:11" ht="15.75">
      <c r="A54" s="788" t="s">
        <v>564</v>
      </c>
      <c r="B54" s="507"/>
      <c r="C54" s="507"/>
      <c r="D54" s="507"/>
      <c r="E54" s="507"/>
      <c r="F54" s="507"/>
      <c r="G54" s="507"/>
      <c r="H54" s="507"/>
      <c r="I54" s="822">
        <f>+H10</f>
        <v>0</v>
      </c>
      <c r="J54" s="507"/>
      <c r="K54" s="507"/>
    </row>
    <row r="55" spans="1:11" ht="15.75">
      <c r="A55" s="788" t="s">
        <v>565</v>
      </c>
      <c r="B55" s="507"/>
      <c r="C55" s="507"/>
      <c r="D55" s="507"/>
      <c r="E55" s="507"/>
      <c r="F55" s="507"/>
      <c r="G55" s="507"/>
      <c r="H55" s="507"/>
      <c r="I55" s="821">
        <f>(I53+I54)</f>
        <v>0</v>
      </c>
      <c r="J55" s="507"/>
      <c r="K55" s="507"/>
    </row>
    <row r="56" spans="1:11">
      <c r="A56" s="401"/>
      <c r="B56" s="401"/>
      <c r="C56" s="401"/>
      <c r="D56" s="401"/>
      <c r="E56" s="401"/>
      <c r="F56" s="401"/>
      <c r="G56" s="401"/>
      <c r="H56" s="401"/>
      <c r="I56" s="401"/>
      <c r="J56" s="401"/>
      <c r="K56" s="401"/>
    </row>
    <row r="57" spans="1:11" ht="81.75" customHeight="1">
      <c r="A57" s="1663" t="s">
        <v>569</v>
      </c>
      <c r="B57" s="1663"/>
      <c r="C57" s="1663"/>
      <c r="D57" s="1663"/>
      <c r="E57" s="823"/>
      <c r="F57" s="823"/>
      <c r="G57" s="823"/>
      <c r="H57" s="823"/>
      <c r="I57" s="823"/>
      <c r="J57" s="823"/>
      <c r="K57" s="823"/>
    </row>
  </sheetData>
  <mergeCells count="5">
    <mergeCell ref="A1:K1"/>
    <mergeCell ref="A2:K2"/>
    <mergeCell ref="A3:K3"/>
    <mergeCell ref="D4:G4"/>
    <mergeCell ref="A57:D57"/>
  </mergeCells>
  <pageMargins left="0.7" right="0.7" top="0.75" bottom="0.75" header="0.3" footer="0.3"/>
  <pageSetup scale="5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S136"/>
  <sheetViews>
    <sheetView view="pageBreakPreview" topLeftCell="A82" zoomScale="85" zoomScaleNormal="50" zoomScaleSheetLayoutView="85" workbookViewId="0">
      <selection activeCell="Q120" sqref="Q120"/>
    </sheetView>
  </sheetViews>
  <sheetFormatPr defaultRowHeight="12.75"/>
  <cols>
    <col min="1" max="1" width="7.5703125" style="1" bestFit="1" customWidth="1"/>
    <col min="2" max="2" width="57.5703125" bestFit="1" customWidth="1"/>
    <col min="3" max="4" width="14.85546875" customWidth="1"/>
    <col min="5" max="6" width="14.42578125" customWidth="1"/>
    <col min="7" max="7" width="15.42578125" bestFit="1" customWidth="1"/>
    <col min="8" max="8" width="3.5703125" customWidth="1"/>
    <col min="9" max="9" width="13.140625" bestFit="1" customWidth="1"/>
    <col min="10" max="10" width="15" bestFit="1" customWidth="1"/>
    <col min="11" max="11" width="13.5703125" bestFit="1" customWidth="1"/>
    <col min="12" max="12" width="3.5703125" customWidth="1"/>
    <col min="13" max="13" width="13.140625" bestFit="1" customWidth="1"/>
    <col min="14" max="14" width="15" bestFit="1" customWidth="1"/>
    <col min="15" max="15" width="13.5703125" bestFit="1" customWidth="1"/>
    <col min="16" max="16" width="3" customWidth="1"/>
    <col min="17" max="17" width="13.140625" bestFit="1" customWidth="1"/>
    <col min="18" max="18" width="15" bestFit="1" customWidth="1"/>
    <col min="19" max="19" width="13.5703125" bestFit="1" customWidth="1"/>
  </cols>
  <sheetData>
    <row r="1" spans="1:19">
      <c r="A1" s="1037"/>
      <c r="B1" s="1104" t="str">
        <f>TCOS!F9</f>
        <v>WHEELING POWER COMPANY</v>
      </c>
      <c r="C1" s="1019"/>
      <c r="D1" s="1019"/>
      <c r="E1" s="1019"/>
      <c r="F1" s="1019"/>
      <c r="G1" s="1020"/>
      <c r="H1" s="1020"/>
      <c r="I1" s="1020"/>
      <c r="J1" s="1020"/>
      <c r="K1" s="1020"/>
      <c r="L1" s="1020"/>
      <c r="M1" s="1019"/>
      <c r="N1" s="1019"/>
      <c r="O1" s="1019"/>
      <c r="P1" s="1019"/>
      <c r="Q1" s="1019"/>
      <c r="R1" s="1019"/>
      <c r="S1" s="1020"/>
    </row>
    <row r="2" spans="1:19">
      <c r="A2" s="1037"/>
      <c r="B2" s="1018" t="s">
        <v>817</v>
      </c>
      <c r="C2" s="1019"/>
      <c r="D2" s="1019"/>
      <c r="E2" s="1019"/>
      <c r="F2" s="1019"/>
      <c r="G2" s="1020"/>
      <c r="H2" s="1020"/>
      <c r="I2" s="1020"/>
      <c r="J2" s="1020"/>
      <c r="K2" s="1020"/>
      <c r="L2" s="1020"/>
      <c r="M2" s="1019"/>
      <c r="N2" s="1019"/>
      <c r="O2" s="1019"/>
      <c r="P2" s="1019"/>
      <c r="Q2" s="1019"/>
      <c r="R2" s="1019"/>
      <c r="S2" s="1020"/>
    </row>
    <row r="3" spans="1:19">
      <c r="A3" s="1037"/>
      <c r="B3" s="1059" t="str">
        <f>"PERIOD ENDED DECEMBER 31, "&amp;TCOS!L4</f>
        <v>PERIOD ENDED DECEMBER 31, 2022</v>
      </c>
      <c r="C3" s="1019"/>
      <c r="D3" s="1019"/>
      <c r="E3" s="1019"/>
      <c r="F3" s="1019"/>
      <c r="G3" s="1019"/>
      <c r="H3" s="1019"/>
      <c r="I3" s="1019"/>
      <c r="J3" s="1019"/>
      <c r="K3" s="1019"/>
      <c r="L3" s="1019"/>
      <c r="M3" s="1019"/>
      <c r="N3" s="1019"/>
      <c r="O3" s="1019"/>
      <c r="P3" s="1019"/>
      <c r="Q3" s="1019"/>
      <c r="R3" s="1019"/>
      <c r="S3" s="1019"/>
    </row>
    <row r="4" spans="1:19">
      <c r="A4" s="1037"/>
      <c r="B4" s="1019"/>
      <c r="C4" s="1019"/>
      <c r="D4" s="1019"/>
      <c r="E4" s="1019"/>
      <c r="F4" s="1019"/>
      <c r="G4" s="940" t="s">
        <v>692</v>
      </c>
      <c r="H4" s="940"/>
      <c r="I4" s="940"/>
      <c r="J4" s="940"/>
      <c r="K4" s="940"/>
      <c r="L4" s="940"/>
      <c r="M4" s="1019"/>
      <c r="N4" s="1019"/>
      <c r="O4" s="1019"/>
      <c r="P4" s="1019"/>
      <c r="Q4" s="1019"/>
      <c r="R4" s="1019"/>
      <c r="S4" s="1019"/>
    </row>
    <row r="5" spans="1:19">
      <c r="A5" s="1037"/>
      <c r="B5" s="1021"/>
      <c r="C5" s="1019"/>
      <c r="D5" s="1019"/>
      <c r="E5" s="1019"/>
      <c r="F5" s="1019"/>
      <c r="G5" s="1019"/>
      <c r="H5" s="1019"/>
      <c r="I5" s="1019"/>
      <c r="J5" s="1019"/>
      <c r="K5" s="1019"/>
      <c r="L5" s="1019"/>
      <c r="M5" s="1019"/>
      <c r="N5" s="1019"/>
      <c r="O5" s="1019"/>
      <c r="P5" s="1019"/>
      <c r="Q5" s="1019"/>
      <c r="R5" s="1019"/>
      <c r="S5" s="1019"/>
    </row>
    <row r="6" spans="1:19">
      <c r="A6" s="1037"/>
      <c r="B6" s="1019"/>
      <c r="C6" s="1019"/>
      <c r="D6" s="1019"/>
      <c r="E6" s="1019"/>
      <c r="F6" s="1019"/>
      <c r="G6" s="1019"/>
      <c r="H6" s="1019"/>
      <c r="I6" s="1019"/>
      <c r="J6" s="1019"/>
      <c r="K6" s="1019"/>
      <c r="L6" s="1019"/>
      <c r="M6" s="1019"/>
      <c r="N6" s="1019"/>
      <c r="O6" s="1019"/>
      <c r="P6" s="1019"/>
      <c r="Q6" s="1019"/>
      <c r="R6" s="1019"/>
      <c r="S6" s="1019"/>
    </row>
    <row r="7" spans="1:19">
      <c r="A7" s="1037"/>
      <c r="B7" s="1019"/>
      <c r="C7" s="1019"/>
      <c r="D7" s="1019"/>
      <c r="E7" s="1019"/>
      <c r="F7" s="1019"/>
      <c r="G7" s="1019"/>
      <c r="H7" s="1019"/>
      <c r="I7" s="1019"/>
      <c r="J7" s="1019"/>
      <c r="K7" s="1019"/>
      <c r="L7" s="1019"/>
      <c r="M7" s="1019"/>
      <c r="N7" s="1019"/>
      <c r="O7" s="1019"/>
      <c r="P7" s="1019"/>
      <c r="Q7" s="1019"/>
      <c r="R7" s="1019"/>
      <c r="S7" s="1019"/>
    </row>
    <row r="8" spans="1:19">
      <c r="A8" s="1037"/>
      <c r="B8" s="1022" t="s">
        <v>693</v>
      </c>
      <c r="C8" s="1022" t="s">
        <v>694</v>
      </c>
      <c r="D8" s="1022" t="s">
        <v>695</v>
      </c>
      <c r="E8" s="1022" t="s">
        <v>696</v>
      </c>
      <c r="F8" s="1022" t="s">
        <v>697</v>
      </c>
      <c r="G8" s="1022" t="s">
        <v>698</v>
      </c>
      <c r="H8" s="1022"/>
      <c r="I8" s="1022" t="s">
        <v>699</v>
      </c>
      <c r="J8" s="1022" t="s">
        <v>700</v>
      </c>
      <c r="K8" s="1022" t="s">
        <v>701</v>
      </c>
      <c r="L8" s="1022"/>
      <c r="M8" s="1022" t="s">
        <v>702</v>
      </c>
      <c r="N8" s="1022" t="s">
        <v>703</v>
      </c>
      <c r="O8" s="1022" t="s">
        <v>704</v>
      </c>
      <c r="P8" s="1019"/>
      <c r="Q8" s="1022" t="s">
        <v>705</v>
      </c>
      <c r="R8" s="1022" t="s">
        <v>706</v>
      </c>
      <c r="S8" s="1022" t="s">
        <v>707</v>
      </c>
    </row>
    <row r="9" spans="1:19">
      <c r="A9" s="1037"/>
      <c r="B9" s="1019"/>
      <c r="C9" s="1019"/>
      <c r="D9" s="1019"/>
      <c r="E9" s="1019"/>
      <c r="F9" s="1019"/>
      <c r="G9" s="1019"/>
      <c r="H9" s="1019"/>
      <c r="I9" s="1019"/>
      <c r="J9" s="1019"/>
      <c r="K9" s="1019"/>
      <c r="L9" s="1019"/>
      <c r="M9" s="1019"/>
      <c r="N9" s="1019"/>
      <c r="O9" s="1019"/>
      <c r="P9" s="1019"/>
      <c r="Q9" s="1019"/>
      <c r="R9" s="1019"/>
      <c r="S9" s="1019"/>
    </row>
    <row r="10" spans="1:19">
      <c r="A10" s="1037"/>
      <c r="B10" s="1019"/>
      <c r="C10" s="1023" t="s">
        <v>708</v>
      </c>
      <c r="D10" s="1023"/>
      <c r="E10" s="1024" t="s">
        <v>709</v>
      </c>
      <c r="F10" s="1023"/>
      <c r="G10" s="21" t="s">
        <v>710</v>
      </c>
      <c r="H10" s="21"/>
      <c r="I10" s="1025" t="s">
        <v>711</v>
      </c>
      <c r="J10" s="1023"/>
      <c r="K10" s="1023"/>
      <c r="L10" s="21"/>
      <c r="M10" s="1025" t="str">
        <f>"FUNCTIONALIZATION 12/31/"&amp;TCOS!L4-1</f>
        <v>FUNCTIONALIZATION 12/31/2021</v>
      </c>
      <c r="N10" s="1023"/>
      <c r="O10" s="1023"/>
      <c r="P10" s="1019"/>
      <c r="Q10" s="1025" t="str">
        <f>"FUNCTIONALIZATION 12/31/"&amp;TCOS!L4</f>
        <v>FUNCTIONALIZATION 12/31/2022</v>
      </c>
      <c r="R10" s="1023"/>
      <c r="S10" s="1023"/>
    </row>
    <row r="11" spans="1:19">
      <c r="A11" s="1037"/>
      <c r="B11" s="1019"/>
      <c r="C11" s="1027"/>
      <c r="D11" s="1027"/>
      <c r="E11" s="1019"/>
      <c r="F11" s="1019"/>
      <c r="G11" s="21" t="s">
        <v>712</v>
      </c>
      <c r="H11" s="21"/>
      <c r="I11" s="1027"/>
      <c r="J11" s="1027"/>
      <c r="K11" s="1027"/>
      <c r="L11" s="21"/>
      <c r="M11" s="1027"/>
      <c r="N11" s="1027"/>
      <c r="O11" s="1027"/>
      <c r="P11" s="1019"/>
      <c r="Q11" s="1027"/>
      <c r="R11" s="1027"/>
      <c r="S11" s="1027"/>
    </row>
    <row r="12" spans="1:19" s="20" customFormat="1">
      <c r="A12" s="1037"/>
      <c r="B12" s="1019"/>
      <c r="C12" s="21" t="s">
        <v>713</v>
      </c>
      <c r="D12" s="21" t="s">
        <v>713</v>
      </c>
      <c r="E12" s="21" t="s">
        <v>713</v>
      </c>
      <c r="F12" s="21" t="s">
        <v>713</v>
      </c>
      <c r="G12" s="21" t="s">
        <v>714</v>
      </c>
      <c r="H12" s="21"/>
      <c r="I12" s="1019"/>
      <c r="J12" s="1019"/>
      <c r="K12" s="1019"/>
      <c r="L12" s="21"/>
      <c r="M12" s="1019"/>
      <c r="N12" s="1019"/>
      <c r="O12" s="1019"/>
      <c r="P12" s="1019"/>
      <c r="Q12" s="1019"/>
      <c r="R12" s="1019"/>
      <c r="S12" s="1019"/>
    </row>
    <row r="13" spans="1:19" s="20" customFormat="1">
      <c r="A13" s="1037"/>
      <c r="B13" s="1022" t="s">
        <v>715</v>
      </c>
      <c r="C13" s="1022" t="str">
        <f>"OF 12-31-"&amp;TCOS!L4-1</f>
        <v>OF 12-31-2021</v>
      </c>
      <c r="D13" s="1022" t="str">
        <f>"OF 12-31-"&amp;TCOS!L4</f>
        <v>OF 12-31-2022</v>
      </c>
      <c r="E13" s="1022" t="str">
        <f>"OF 12-31-"&amp;TCOS!L4-1</f>
        <v>OF 12-31-2021</v>
      </c>
      <c r="F13" s="1022" t="str">
        <f>"OF 12-31-"&amp;TCOS!L4</f>
        <v>OF 12-31-2022</v>
      </c>
      <c r="G13" s="1022" t="s">
        <v>716</v>
      </c>
      <c r="H13" s="1022"/>
      <c r="I13" s="1022" t="s">
        <v>717</v>
      </c>
      <c r="J13" s="1022" t="s">
        <v>718</v>
      </c>
      <c r="K13" s="1022" t="s">
        <v>719</v>
      </c>
      <c r="L13" s="1022"/>
      <c r="M13" s="1022" t="s">
        <v>717</v>
      </c>
      <c r="N13" s="1022" t="s">
        <v>718</v>
      </c>
      <c r="O13" s="1022" t="s">
        <v>719</v>
      </c>
      <c r="P13" s="1019"/>
      <c r="Q13" s="1022" t="s">
        <v>717</v>
      </c>
      <c r="R13" s="1022" t="s">
        <v>718</v>
      </c>
      <c r="S13" s="1022" t="s">
        <v>719</v>
      </c>
    </row>
    <row r="14" spans="1:19">
      <c r="A14" s="1037"/>
      <c r="B14" s="1019"/>
      <c r="C14" s="1019"/>
      <c r="D14" s="1019"/>
      <c r="E14" s="1019"/>
      <c r="F14" s="1019"/>
      <c r="G14" s="1019"/>
      <c r="H14" s="1019"/>
      <c r="I14" s="1019"/>
      <c r="J14" s="1019"/>
      <c r="K14" s="1019"/>
      <c r="L14" s="1019"/>
      <c r="M14" s="1019"/>
      <c r="N14" s="1019"/>
      <c r="O14" s="1019"/>
      <c r="P14" s="1019"/>
      <c r="Q14" s="1019"/>
      <c r="R14" s="1019"/>
      <c r="S14" s="1019"/>
    </row>
    <row r="15" spans="1:19">
      <c r="A15" s="1058">
        <v>1</v>
      </c>
      <c r="B15" s="834" t="s">
        <v>720</v>
      </c>
      <c r="C15" s="1029"/>
      <c r="D15" s="1029"/>
      <c r="E15" s="1029"/>
      <c r="F15" s="1030"/>
      <c r="G15" s="1029"/>
      <c r="H15" s="1029"/>
      <c r="I15" s="1029"/>
      <c r="J15" s="1029"/>
      <c r="K15" s="1029"/>
      <c r="L15" s="1029"/>
      <c r="M15" s="1029"/>
      <c r="N15" s="1029"/>
      <c r="O15" s="1029"/>
      <c r="P15" s="1029"/>
      <c r="Q15" s="1029"/>
      <c r="R15" s="1029"/>
      <c r="S15" s="1029"/>
    </row>
    <row r="16" spans="1:19">
      <c r="A16" s="1058">
        <v>2.0099999999999998</v>
      </c>
      <c r="B16" s="834"/>
      <c r="C16" s="1029"/>
      <c r="D16" s="1029"/>
      <c r="E16" s="1029"/>
      <c r="F16" s="1029"/>
      <c r="G16" s="1029"/>
      <c r="H16" s="1029"/>
      <c r="I16" s="1029"/>
      <c r="J16" s="1029"/>
      <c r="K16" s="1029"/>
      <c r="L16" s="1029"/>
      <c r="M16" s="1029"/>
      <c r="N16" s="1029"/>
      <c r="O16" s="1029"/>
      <c r="P16" s="1029"/>
      <c r="Q16" s="1029"/>
      <c r="R16" s="1029"/>
      <c r="S16" s="1029"/>
    </row>
    <row r="17" spans="1:19">
      <c r="A17" s="1058">
        <v>2.02</v>
      </c>
      <c r="B17" s="834" t="s">
        <v>925</v>
      </c>
      <c r="C17" s="1029">
        <f>SUM(M17:O17)</f>
        <v>46200830.270000003</v>
      </c>
      <c r="D17" s="1029">
        <f>SUM(Q17:S17)</f>
        <v>43948328.760000005</v>
      </c>
      <c r="E17" s="1029"/>
      <c r="F17" s="1029"/>
      <c r="G17" s="1029">
        <f>ROUND(SUM(C17:F17)/2,0)</f>
        <v>45074580</v>
      </c>
      <c r="H17" s="1029"/>
      <c r="I17" s="1029">
        <f>(M17+Q17)/2</f>
        <v>45074579.515000001</v>
      </c>
      <c r="J17" s="1029">
        <f>(N17+R17)/2</f>
        <v>0</v>
      </c>
      <c r="K17" s="1029">
        <f>(O17+S17)/2</f>
        <v>0</v>
      </c>
      <c r="L17" s="1029"/>
      <c r="M17" s="834">
        <v>46200830.270000003</v>
      </c>
      <c r="N17" s="834">
        <v>0</v>
      </c>
      <c r="O17" s="834">
        <v>0</v>
      </c>
      <c r="P17" s="1029"/>
      <c r="Q17" s="834">
        <v>43948328.760000005</v>
      </c>
      <c r="R17" s="834">
        <v>0</v>
      </c>
      <c r="S17" s="834">
        <v>0</v>
      </c>
    </row>
    <row r="18" spans="1:19">
      <c r="A18" s="1058">
        <v>2.0299999999999998</v>
      </c>
      <c r="B18" s="834"/>
      <c r="C18" s="1029"/>
      <c r="D18" s="1029"/>
      <c r="E18" s="1029"/>
      <c r="F18" s="1029"/>
      <c r="G18" s="1029"/>
      <c r="H18" s="1029"/>
      <c r="I18" s="1029"/>
      <c r="J18" s="1029"/>
      <c r="K18" s="1029"/>
      <c r="L18" s="1029"/>
      <c r="M18" s="1029"/>
      <c r="N18" s="1029"/>
      <c r="O18" s="1029"/>
      <c r="P18" s="1029"/>
      <c r="Q18" s="1029"/>
      <c r="R18" s="1029"/>
      <c r="S18" s="1029"/>
    </row>
    <row r="19" spans="1:19">
      <c r="A19" s="1058">
        <v>2.04</v>
      </c>
      <c r="B19" s="834" t="s">
        <v>926</v>
      </c>
      <c r="C19" s="1029">
        <v>0</v>
      </c>
      <c r="D19" s="1029">
        <v>0</v>
      </c>
      <c r="E19" s="1029">
        <v>0</v>
      </c>
      <c r="F19" s="1029">
        <v>0</v>
      </c>
      <c r="G19" s="1029">
        <f>ROUND(SUM(C19:F19)/2,0)</f>
        <v>0</v>
      </c>
      <c r="H19" s="1029"/>
      <c r="I19" s="1029"/>
      <c r="J19" s="1029"/>
      <c r="K19" s="1029"/>
      <c r="L19" s="1029"/>
      <c r="M19" s="1029"/>
      <c r="N19" s="1029"/>
      <c r="O19" s="1029"/>
      <c r="P19" s="1029"/>
      <c r="Q19" s="1029"/>
      <c r="R19" s="1029"/>
      <c r="S19" s="1029"/>
    </row>
    <row r="20" spans="1:19">
      <c r="A20" s="1058">
        <v>2.0499999999999998</v>
      </c>
      <c r="B20" s="834" t="s">
        <v>927</v>
      </c>
      <c r="C20" s="1029">
        <v>0</v>
      </c>
      <c r="D20" s="1029">
        <v>0</v>
      </c>
      <c r="E20" s="1029">
        <v>0</v>
      </c>
      <c r="F20" s="1029">
        <v>0</v>
      </c>
      <c r="G20" s="1029">
        <f>ROUND(SUM(C20:F20)/2,0)</f>
        <v>0</v>
      </c>
      <c r="H20" s="1029"/>
      <c r="I20" s="1029"/>
      <c r="J20" s="1029"/>
      <c r="K20" s="1029"/>
      <c r="L20" s="1029"/>
      <c r="M20" s="1029"/>
      <c r="N20" s="1029"/>
      <c r="O20" s="1029"/>
      <c r="P20" s="1029"/>
      <c r="Q20" s="1029"/>
      <c r="R20" s="1029"/>
      <c r="S20" s="1029"/>
    </row>
    <row r="21" spans="1:19">
      <c r="A21" s="1058">
        <v>2.06</v>
      </c>
      <c r="B21" s="834" t="s">
        <v>928</v>
      </c>
      <c r="C21" s="1029">
        <f>-E21</f>
        <v>-18497243.780000001</v>
      </c>
      <c r="D21" s="1029">
        <f>-F21</f>
        <v>-17859669.780000001</v>
      </c>
      <c r="E21" s="1029">
        <v>18497243.780000001</v>
      </c>
      <c r="F21" s="1029">
        <v>17859669.780000001</v>
      </c>
      <c r="G21" s="1029">
        <f>ROUND(SUM(C21:F21)/2,0)</f>
        <v>0</v>
      </c>
      <c r="H21" s="1029"/>
      <c r="I21" s="1029"/>
      <c r="J21" s="1029"/>
      <c r="K21" s="1029"/>
      <c r="L21" s="1029"/>
      <c r="M21" s="1029"/>
      <c r="N21" s="1029"/>
      <c r="O21" s="1029"/>
      <c r="P21" s="1029"/>
      <c r="Q21" s="1029"/>
      <c r="R21" s="1029"/>
      <c r="S21" s="1029"/>
    </row>
    <row r="22" spans="1:19">
      <c r="A22" s="1054"/>
      <c r="B22" s="1019"/>
      <c r="C22" s="1029"/>
      <c r="D22" s="1029"/>
      <c r="E22" s="1029"/>
      <c r="F22" s="1029"/>
      <c r="G22" s="1029"/>
      <c r="H22" s="1029"/>
      <c r="I22" s="1029"/>
      <c r="J22" s="1029"/>
      <c r="K22" s="1029"/>
      <c r="L22" s="1029"/>
      <c r="M22" s="1029"/>
      <c r="N22" s="1029"/>
      <c r="O22" s="1029"/>
      <c r="P22" s="1029"/>
      <c r="Q22" s="1029"/>
      <c r="R22" s="1029"/>
      <c r="S22" s="1029"/>
    </row>
    <row r="23" spans="1:19" ht="13.5" thickBot="1">
      <c r="A23" s="1038">
        <v>3</v>
      </c>
      <c r="B23" s="233" t="s">
        <v>721</v>
      </c>
      <c r="C23" s="1031">
        <f>SUM(C17:C22)</f>
        <v>27703586.490000002</v>
      </c>
      <c r="D23" s="1031">
        <f>SUM(D17:D22)</f>
        <v>26088658.980000004</v>
      </c>
      <c r="E23" s="1031">
        <f>SUM(E17:E22)</f>
        <v>18497243.780000001</v>
      </c>
      <c r="F23" s="1031">
        <f>SUM(F17:F22)</f>
        <v>17859669.780000001</v>
      </c>
      <c r="G23" s="1031">
        <f>SUM(G17:G22)</f>
        <v>45074580</v>
      </c>
      <c r="H23" s="1029"/>
      <c r="I23" s="1031">
        <f>SUM(I17:I22)</f>
        <v>45074579.515000001</v>
      </c>
      <c r="J23" s="1031">
        <f>SUM(J17:J22)</f>
        <v>0</v>
      </c>
      <c r="K23" s="1031">
        <f>SUM(K17:K22)</f>
        <v>0</v>
      </c>
      <c r="L23" s="1029"/>
      <c r="M23" s="1031">
        <f>SUM(M17:M22)</f>
        <v>46200830.270000003</v>
      </c>
      <c r="N23" s="1031">
        <f>SUM(N17:N22)</f>
        <v>0</v>
      </c>
      <c r="O23" s="1031">
        <f>SUM(O17:O22)</f>
        <v>0</v>
      </c>
      <c r="P23" s="1029"/>
      <c r="Q23" s="1031">
        <f>SUM(Q17:Q22)</f>
        <v>43948328.760000005</v>
      </c>
      <c r="R23" s="1031">
        <f>SUM(R17:R22)</f>
        <v>0</v>
      </c>
      <c r="S23" s="1031">
        <f>SUM(S17:S22)</f>
        <v>0</v>
      </c>
    </row>
    <row r="24" spans="1:19" ht="13.5" thickTop="1">
      <c r="A24" s="1038">
        <f>A23+1</f>
        <v>4</v>
      </c>
      <c r="B24" s="1105" t="s">
        <v>739</v>
      </c>
      <c r="C24" s="1051">
        <v>0</v>
      </c>
      <c r="D24" s="1051">
        <v>0</v>
      </c>
      <c r="E24" s="1051">
        <v>0</v>
      </c>
      <c r="F24" s="1051">
        <v>0</v>
      </c>
      <c r="G24" s="1051">
        <v>0</v>
      </c>
      <c r="H24" s="1052"/>
      <c r="I24" s="1051">
        <v>0</v>
      </c>
      <c r="J24" s="1051">
        <v>0</v>
      </c>
      <c r="K24" s="1051">
        <v>0</v>
      </c>
      <c r="L24" s="1052"/>
      <c r="M24" s="1051">
        <v>0</v>
      </c>
      <c r="N24" s="1051">
        <v>0</v>
      </c>
      <c r="O24" s="1051">
        <v>0</v>
      </c>
      <c r="P24" s="1052"/>
      <c r="Q24" s="1051">
        <v>0</v>
      </c>
      <c r="R24" s="1051">
        <v>0</v>
      </c>
      <c r="S24" s="1051">
        <v>0</v>
      </c>
    </row>
    <row r="25" spans="1:19">
      <c r="A25" s="1038"/>
      <c r="B25" s="1019"/>
      <c r="C25" s="1029"/>
      <c r="D25" s="1029"/>
      <c r="E25" s="1029"/>
      <c r="F25" s="1029"/>
      <c r="G25" s="1029"/>
      <c r="H25" s="1029"/>
      <c r="I25" s="1029"/>
      <c r="J25" s="1029"/>
      <c r="K25" s="1029"/>
      <c r="L25" s="1029"/>
      <c r="M25" s="1029"/>
      <c r="N25" s="1029"/>
      <c r="O25" s="1029"/>
      <c r="P25" s="1029"/>
      <c r="Q25" s="1029"/>
      <c r="R25" s="1029"/>
      <c r="S25" s="1029"/>
    </row>
    <row r="26" spans="1:19">
      <c r="A26" s="1038">
        <v>5</v>
      </c>
      <c r="B26" s="1020" t="s">
        <v>722</v>
      </c>
      <c r="C26" s="1029"/>
      <c r="D26" s="1029"/>
      <c r="E26" s="1029"/>
      <c r="F26" s="1029"/>
      <c r="G26" s="1029"/>
      <c r="H26" s="1029"/>
      <c r="I26" s="1029"/>
      <c r="J26" s="1029"/>
      <c r="K26" s="1029"/>
      <c r="L26" s="1029"/>
      <c r="M26" s="1029"/>
      <c r="N26" s="1029"/>
      <c r="O26" s="1029"/>
      <c r="P26" s="1029"/>
      <c r="Q26" s="1029"/>
      <c r="R26" s="1029"/>
      <c r="S26" s="1029"/>
    </row>
    <row r="27" spans="1:19">
      <c r="A27" s="1055"/>
      <c r="B27" s="1019"/>
      <c r="C27" s="1029"/>
      <c r="D27" s="1029"/>
      <c r="E27" s="1029"/>
      <c r="F27" s="1029"/>
      <c r="G27" s="1029"/>
      <c r="H27" s="1029"/>
      <c r="I27" s="1029"/>
      <c r="J27" s="1029"/>
      <c r="K27" s="1029"/>
      <c r="L27" s="1029"/>
      <c r="M27" s="1029"/>
      <c r="N27" s="1029"/>
      <c r="O27" s="1029"/>
      <c r="P27" s="1029"/>
      <c r="Q27" s="1029"/>
      <c r="R27" s="1029"/>
      <c r="S27" s="1029"/>
    </row>
    <row r="28" spans="1:19">
      <c r="A28" s="1058">
        <v>5.01</v>
      </c>
      <c r="B28" s="834" t="s">
        <v>929</v>
      </c>
      <c r="C28" s="1029">
        <f t="shared" ref="C28:C51" si="0">SUM(M28:O28)</f>
        <v>60915082.420000002</v>
      </c>
      <c r="D28" s="1029">
        <f t="shared" ref="D28:D51" si="1">SUM(Q28:S28)</f>
        <v>58599712.900000006</v>
      </c>
      <c r="E28" s="1029"/>
      <c r="F28" s="1029"/>
      <c r="G28" s="1029">
        <f t="shared" ref="G28:G57" si="2">ROUND(SUM(C28:F28)/2,0)</f>
        <v>59757398</v>
      </c>
      <c r="H28" s="1029"/>
      <c r="I28" s="1029">
        <f t="shared" ref="I28:K52" si="3">(M28+Q28)/2</f>
        <v>34211286.975000001</v>
      </c>
      <c r="J28" s="1029">
        <f t="shared" si="3"/>
        <v>15831829.035</v>
      </c>
      <c r="K28" s="1029">
        <f t="shared" si="3"/>
        <v>9714281.6500000004</v>
      </c>
      <c r="L28" s="1029"/>
      <c r="M28" s="834">
        <v>35106921.399999999</v>
      </c>
      <c r="N28" s="834">
        <v>15689370.130000001</v>
      </c>
      <c r="O28" s="834">
        <v>10118790.890000001</v>
      </c>
      <c r="P28" s="1029"/>
      <c r="Q28" s="834">
        <v>33315652.550000001</v>
      </c>
      <c r="R28" s="834">
        <v>15974287.939999999</v>
      </c>
      <c r="S28" s="834">
        <v>9309772.4100000001</v>
      </c>
    </row>
    <row r="29" spans="1:19">
      <c r="A29" s="1058">
        <f t="shared" ref="A29:A57" si="4">A28+0.01</f>
        <v>5.0199999999999996</v>
      </c>
      <c r="B29" s="834" t="s">
        <v>1028</v>
      </c>
      <c r="C29" s="1029">
        <f t="shared" ref="C29:C30" si="5">SUM(M29:O29)</f>
        <v>141704.40000000002</v>
      </c>
      <c r="D29" s="1029">
        <f t="shared" ref="D29:D30" si="6">SUM(Q29:S29)</f>
        <v>-0.18000000000000002</v>
      </c>
      <c r="E29" s="1029"/>
      <c r="F29" s="1029"/>
      <c r="G29" s="1029">
        <f t="shared" ref="G29:G30" si="7">ROUND(SUM(C29:F29)/2,0)</f>
        <v>70852</v>
      </c>
      <c r="H29" s="1029"/>
      <c r="I29" s="1029">
        <f t="shared" ref="I29:I30" si="8">(M29+Q29)/2</f>
        <v>-6649.835</v>
      </c>
      <c r="J29" s="1029">
        <f t="shared" ref="J29:J30" si="9">(N29+R29)/2</f>
        <v>45895.895000000004</v>
      </c>
      <c r="K29" s="1029">
        <f t="shared" ref="K29:K30" si="10">(O29+S29)/2</f>
        <v>31606.05</v>
      </c>
      <c r="L29" s="1029"/>
      <c r="M29" s="834">
        <v>-13299.62</v>
      </c>
      <c r="N29" s="834">
        <v>91792.13</v>
      </c>
      <c r="O29" s="834">
        <v>63211.89</v>
      </c>
      <c r="P29" s="1029"/>
      <c r="Q29" s="834">
        <v>-0.05</v>
      </c>
      <c r="R29" s="834">
        <v>-0.34</v>
      </c>
      <c r="S29" s="834">
        <v>0.21</v>
      </c>
    </row>
    <row r="30" spans="1:19">
      <c r="A30" s="1058">
        <f t="shared" si="4"/>
        <v>5.0299999999999994</v>
      </c>
      <c r="B30" s="834" t="s">
        <v>930</v>
      </c>
      <c r="C30" s="1029">
        <f t="shared" si="5"/>
        <v>296.73</v>
      </c>
      <c r="D30" s="1029">
        <f t="shared" si="6"/>
        <v>75.599999999999994</v>
      </c>
      <c r="E30" s="1029"/>
      <c r="F30" s="1029"/>
      <c r="G30" s="1029">
        <f t="shared" si="7"/>
        <v>186</v>
      </c>
      <c r="H30" s="1029"/>
      <c r="I30" s="1029">
        <f t="shared" si="8"/>
        <v>0</v>
      </c>
      <c r="J30" s="1029">
        <f t="shared" si="9"/>
        <v>91.034999999999997</v>
      </c>
      <c r="K30" s="1029">
        <f t="shared" si="10"/>
        <v>95.13000000000001</v>
      </c>
      <c r="L30" s="1029"/>
      <c r="M30" s="834">
        <v>0</v>
      </c>
      <c r="N30" s="834">
        <v>144.9</v>
      </c>
      <c r="O30" s="834">
        <v>151.83000000000001</v>
      </c>
      <c r="P30" s="1029"/>
      <c r="Q30" s="834">
        <v>0</v>
      </c>
      <c r="R30" s="834">
        <v>37.17</v>
      </c>
      <c r="S30" s="834">
        <v>38.43</v>
      </c>
    </row>
    <row r="31" spans="1:19">
      <c r="A31" s="1058">
        <f t="shared" si="4"/>
        <v>5.0399999999999991</v>
      </c>
      <c r="B31" s="834" t="s">
        <v>931</v>
      </c>
      <c r="C31" s="1029">
        <f t="shared" si="0"/>
        <v>15029.91</v>
      </c>
      <c r="D31" s="1029">
        <f t="shared" si="1"/>
        <v>15029.91</v>
      </c>
      <c r="E31" s="1029"/>
      <c r="F31" s="1029"/>
      <c r="G31" s="1029">
        <f t="shared" si="2"/>
        <v>15030</v>
      </c>
      <c r="H31" s="1029"/>
      <c r="I31" s="1029">
        <f t="shared" si="3"/>
        <v>13506.78</v>
      </c>
      <c r="J31" s="1029">
        <f t="shared" si="3"/>
        <v>1523.13</v>
      </c>
      <c r="K31" s="1029">
        <f t="shared" si="3"/>
        <v>0</v>
      </c>
      <c r="L31" s="1029"/>
      <c r="M31" s="1092">
        <v>13506.78</v>
      </c>
      <c r="N31" s="834">
        <v>1523.13</v>
      </c>
      <c r="O31" s="834">
        <v>0</v>
      </c>
      <c r="P31" s="1029"/>
      <c r="Q31" s="1092">
        <v>13506.78</v>
      </c>
      <c r="R31" s="834">
        <v>1523.13</v>
      </c>
      <c r="S31" s="834">
        <v>0</v>
      </c>
    </row>
    <row r="32" spans="1:19">
      <c r="A32" s="1058">
        <f t="shared" si="4"/>
        <v>5.0499999999999989</v>
      </c>
      <c r="B32" s="834" t="s">
        <v>932</v>
      </c>
      <c r="C32" s="1029">
        <f>SUM(M32:O32)</f>
        <v>551.66999999999996</v>
      </c>
      <c r="D32" s="1029">
        <f>SUM(Q32:S32)</f>
        <v>158.97</v>
      </c>
      <c r="E32" s="1029"/>
      <c r="F32" s="1029"/>
      <c r="G32" s="1029">
        <f t="shared" si="2"/>
        <v>355</v>
      </c>
      <c r="H32" s="1029"/>
      <c r="I32" s="1029">
        <f t="shared" si="3"/>
        <v>0</v>
      </c>
      <c r="J32" s="1029">
        <f t="shared" si="3"/>
        <v>0</v>
      </c>
      <c r="K32" s="1029">
        <f t="shared" si="3"/>
        <v>355.32</v>
      </c>
      <c r="L32" s="1029"/>
      <c r="M32" s="834">
        <v>0</v>
      </c>
      <c r="N32" s="834">
        <v>0</v>
      </c>
      <c r="O32" s="834">
        <v>551.66999999999996</v>
      </c>
      <c r="P32" s="1029"/>
      <c r="Q32" s="834">
        <v>0</v>
      </c>
      <c r="R32" s="834">
        <v>0</v>
      </c>
      <c r="S32" s="834">
        <v>158.97</v>
      </c>
    </row>
    <row r="33" spans="1:19">
      <c r="A33" s="1058">
        <f t="shared" si="4"/>
        <v>5.0599999999999987</v>
      </c>
      <c r="B33" s="834" t="s">
        <v>933</v>
      </c>
      <c r="C33" s="1033">
        <f t="shared" si="0"/>
        <v>913930.57</v>
      </c>
      <c r="D33" s="1033">
        <f t="shared" si="1"/>
        <v>751468.38000000012</v>
      </c>
      <c r="E33" s="1033"/>
      <c r="F33" s="1033"/>
      <c r="G33" s="1033">
        <f t="shared" si="2"/>
        <v>832699</v>
      </c>
      <c r="H33" s="1033"/>
      <c r="I33" s="1033">
        <f t="shared" si="3"/>
        <v>819443.63</v>
      </c>
      <c r="J33" s="1033">
        <f t="shared" si="3"/>
        <v>14085.57</v>
      </c>
      <c r="K33" s="1033">
        <f t="shared" si="3"/>
        <v>-829.72499999999991</v>
      </c>
      <c r="L33" s="1033"/>
      <c r="M33" s="834">
        <v>900846.09</v>
      </c>
      <c r="N33" s="834">
        <v>14671.59</v>
      </c>
      <c r="O33" s="834">
        <v>-1587.11</v>
      </c>
      <c r="P33" s="1033"/>
      <c r="Q33" s="834">
        <v>738041.17</v>
      </c>
      <c r="R33" s="834">
        <v>13499.55</v>
      </c>
      <c r="S33" s="834">
        <v>-72.339999999999918</v>
      </c>
    </row>
    <row r="34" spans="1:19">
      <c r="A34" s="1058">
        <f t="shared" si="4"/>
        <v>5.0699999999999985</v>
      </c>
      <c r="B34" s="834" t="s">
        <v>1030</v>
      </c>
      <c r="C34" s="1029">
        <f t="shared" ref="C34" si="11">SUM(M34:O34)</f>
        <v>0</v>
      </c>
      <c r="D34" s="1029">
        <f t="shared" ref="D34" si="12">SUM(Q34:S34)</f>
        <v>0</v>
      </c>
      <c r="E34" s="1029"/>
      <c r="F34" s="1029"/>
      <c r="G34" s="1029">
        <f t="shared" ref="G34" si="13">ROUND(SUM(C34:F34)/2,0)</f>
        <v>0</v>
      </c>
      <c r="H34" s="1029"/>
      <c r="I34" s="1029">
        <f t="shared" ref="I34" si="14">(M34+Q34)/2</f>
        <v>0</v>
      </c>
      <c r="J34" s="1029">
        <f t="shared" ref="J34" si="15">(N34+R34)/2</f>
        <v>0</v>
      </c>
      <c r="K34" s="1029">
        <f t="shared" ref="K34" si="16">(O34+S34)/2</f>
        <v>0</v>
      </c>
      <c r="L34" s="1029"/>
      <c r="M34" s="834">
        <v>0</v>
      </c>
      <c r="N34" s="834">
        <v>0</v>
      </c>
      <c r="O34" s="834">
        <v>0</v>
      </c>
      <c r="P34" s="1029"/>
      <c r="Q34" s="834">
        <v>0</v>
      </c>
      <c r="R34" s="834">
        <v>0</v>
      </c>
      <c r="S34" s="834">
        <v>0</v>
      </c>
    </row>
    <row r="35" spans="1:19">
      <c r="A35" s="1058">
        <f t="shared" si="4"/>
        <v>5.0799999999999983</v>
      </c>
      <c r="B35" s="834" t="s">
        <v>934</v>
      </c>
      <c r="C35" s="1029">
        <f t="shared" ref="C35:C41" si="17">SUM(M35:O35)</f>
        <v>2512068.66</v>
      </c>
      <c r="D35" s="1029">
        <f t="shared" ref="D35:D41" si="18">SUM(Q35:S35)</f>
        <v>2512068.66</v>
      </c>
      <c r="E35" s="1029"/>
      <c r="F35" s="1029"/>
      <c r="G35" s="1029">
        <f t="shared" si="2"/>
        <v>2512069</v>
      </c>
      <c r="H35" s="1029"/>
      <c r="I35" s="1029">
        <f t="shared" si="3"/>
        <v>2512068.66</v>
      </c>
      <c r="J35" s="1029">
        <f t="shared" si="3"/>
        <v>0</v>
      </c>
      <c r="K35" s="1029">
        <f t="shared" si="3"/>
        <v>0</v>
      </c>
      <c r="L35" s="1029"/>
      <c r="M35" s="834">
        <v>2512068.66</v>
      </c>
      <c r="N35" s="834">
        <v>0</v>
      </c>
      <c r="O35" s="834">
        <v>0</v>
      </c>
      <c r="P35" s="1029"/>
      <c r="Q35" s="834">
        <v>2512068.66</v>
      </c>
      <c r="R35" s="834">
        <v>0</v>
      </c>
      <c r="S35" s="834">
        <v>0</v>
      </c>
    </row>
    <row r="36" spans="1:19">
      <c r="A36" s="1058">
        <f t="shared" si="4"/>
        <v>5.0899999999999981</v>
      </c>
      <c r="B36" s="834" t="s">
        <v>935</v>
      </c>
      <c r="C36" s="1029">
        <f t="shared" si="17"/>
        <v>0</v>
      </c>
      <c r="D36" s="1029">
        <f t="shared" si="18"/>
        <v>0</v>
      </c>
      <c r="E36" s="1029"/>
      <c r="F36" s="1029"/>
      <c r="G36" s="1029">
        <f t="shared" si="2"/>
        <v>0</v>
      </c>
      <c r="H36" s="1029"/>
      <c r="I36" s="1029">
        <f t="shared" si="3"/>
        <v>0</v>
      </c>
      <c r="J36" s="1029">
        <f t="shared" si="3"/>
        <v>0</v>
      </c>
      <c r="K36" s="1029">
        <f t="shared" si="3"/>
        <v>0</v>
      </c>
      <c r="L36" s="1029"/>
      <c r="M36" s="834">
        <v>0</v>
      </c>
      <c r="N36" s="834">
        <v>0</v>
      </c>
      <c r="O36" s="834">
        <v>0</v>
      </c>
      <c r="P36" s="1029"/>
      <c r="Q36" s="834">
        <v>0</v>
      </c>
      <c r="R36" s="834">
        <v>0</v>
      </c>
      <c r="S36" s="834">
        <v>0</v>
      </c>
    </row>
    <row r="37" spans="1:19">
      <c r="A37" s="1058">
        <f t="shared" si="4"/>
        <v>5.0999999999999979</v>
      </c>
      <c r="B37" s="834" t="s">
        <v>936</v>
      </c>
      <c r="C37" s="1029">
        <f t="shared" si="17"/>
        <v>3031326.38</v>
      </c>
      <c r="D37" s="1029">
        <f t="shared" si="18"/>
        <v>3169491.4499999997</v>
      </c>
      <c r="E37" s="1029"/>
      <c r="F37" s="1029"/>
      <c r="G37" s="1029">
        <f t="shared" si="2"/>
        <v>3100409</v>
      </c>
      <c r="H37" s="1029"/>
      <c r="I37" s="1029">
        <f t="shared" si="3"/>
        <v>1797688.39</v>
      </c>
      <c r="J37" s="1029">
        <f t="shared" si="3"/>
        <v>237596.77499999999</v>
      </c>
      <c r="K37" s="1029">
        <f t="shared" si="3"/>
        <v>1065123.75</v>
      </c>
      <c r="L37" s="1029"/>
      <c r="M37" s="834">
        <v>1760044.88</v>
      </c>
      <c r="N37" s="834">
        <v>231005.19</v>
      </c>
      <c r="O37" s="834">
        <v>1040276.3099999999</v>
      </c>
      <c r="P37" s="1029"/>
      <c r="Q37" s="834">
        <v>1835331.9</v>
      </c>
      <c r="R37" s="834">
        <v>244188.36</v>
      </c>
      <c r="S37" s="834">
        <v>1089971.19</v>
      </c>
    </row>
    <row r="38" spans="1:19">
      <c r="A38" s="1058">
        <f t="shared" si="4"/>
        <v>5.1099999999999977</v>
      </c>
      <c r="B38" s="834" t="s">
        <v>937</v>
      </c>
      <c r="C38" s="1029">
        <f>SUM(M38:O38)</f>
        <v>353157</v>
      </c>
      <c r="D38" s="1029">
        <f t="shared" si="18"/>
        <v>353157</v>
      </c>
      <c r="E38" s="1029"/>
      <c r="F38" s="1029"/>
      <c r="G38" s="1029">
        <f>ROUND(SUM(C38:F38)/2,0)</f>
        <v>353157</v>
      </c>
      <c r="H38" s="1029"/>
      <c r="I38" s="1029">
        <f t="shared" si="3"/>
        <v>353157</v>
      </c>
      <c r="J38" s="1029">
        <f t="shared" si="3"/>
        <v>0</v>
      </c>
      <c r="K38" s="1029">
        <f t="shared" si="3"/>
        <v>0</v>
      </c>
      <c r="L38" s="1029"/>
      <c r="M38" s="834">
        <v>353157</v>
      </c>
      <c r="N38" s="834"/>
      <c r="O38" s="834">
        <v>0</v>
      </c>
      <c r="P38" s="1029"/>
      <c r="Q38" s="834">
        <v>353157</v>
      </c>
      <c r="R38" s="834"/>
      <c r="S38" s="834">
        <v>0</v>
      </c>
    </row>
    <row r="39" spans="1:19">
      <c r="A39" s="1058">
        <f t="shared" si="4"/>
        <v>5.1199999999999974</v>
      </c>
      <c r="B39" s="834" t="s">
        <v>938</v>
      </c>
      <c r="C39" s="1029">
        <f t="shared" si="17"/>
        <v>350528.18</v>
      </c>
      <c r="D39" s="1029">
        <f t="shared" si="18"/>
        <v>488169.30000000005</v>
      </c>
      <c r="E39" s="1029"/>
      <c r="F39" s="1029"/>
      <c r="G39" s="1029">
        <f t="shared" si="2"/>
        <v>419349</v>
      </c>
      <c r="H39" s="1029"/>
      <c r="I39" s="1029">
        <f t="shared" si="3"/>
        <v>181845.72</v>
      </c>
      <c r="J39" s="1029">
        <f t="shared" si="3"/>
        <v>60782.319999999992</v>
      </c>
      <c r="K39" s="1029">
        <f t="shared" si="3"/>
        <v>176720.7</v>
      </c>
      <c r="L39" s="1029"/>
      <c r="M39" s="834">
        <v>124484.20999999999</v>
      </c>
      <c r="N39" s="834">
        <v>58036.03</v>
      </c>
      <c r="O39" s="834">
        <v>168007.94</v>
      </c>
      <c r="P39" s="1029"/>
      <c r="Q39" s="834">
        <v>239207.23</v>
      </c>
      <c r="R39" s="834">
        <v>63528.609999999993</v>
      </c>
      <c r="S39" s="834">
        <v>185433.46000000002</v>
      </c>
    </row>
    <row r="40" spans="1:19">
      <c r="A40" s="1058">
        <f t="shared" si="4"/>
        <v>5.1299999999999972</v>
      </c>
      <c r="B40" s="834" t="s">
        <v>939</v>
      </c>
      <c r="C40" s="1029">
        <f t="shared" si="17"/>
        <v>15375045.050000001</v>
      </c>
      <c r="D40" s="1029">
        <f t="shared" si="18"/>
        <v>22347750.440000001</v>
      </c>
      <c r="E40" s="1029"/>
      <c r="F40" s="1029"/>
      <c r="G40" s="1029">
        <f t="shared" si="2"/>
        <v>18861398</v>
      </c>
      <c r="H40" s="1029"/>
      <c r="I40" s="1029">
        <f t="shared" si="3"/>
        <v>10851986.07</v>
      </c>
      <c r="J40" s="1029">
        <f t="shared" si="3"/>
        <v>791375.85000000009</v>
      </c>
      <c r="K40" s="1029">
        <f t="shared" si="3"/>
        <v>7218035.8250000002</v>
      </c>
      <c r="L40" s="1029"/>
      <c r="M40" s="834">
        <v>7563482.6699999999</v>
      </c>
      <c r="N40" s="834">
        <v>790809.9</v>
      </c>
      <c r="O40" s="834">
        <v>7020752.4800000004</v>
      </c>
      <c r="P40" s="1029"/>
      <c r="Q40" s="834">
        <v>14140489.470000001</v>
      </c>
      <c r="R40" s="834">
        <v>791941.8</v>
      </c>
      <c r="S40" s="834">
        <v>7415319.1699999999</v>
      </c>
    </row>
    <row r="41" spans="1:19">
      <c r="A41" s="1058">
        <f t="shared" si="4"/>
        <v>5.139999999999997</v>
      </c>
      <c r="B41" s="834" t="s">
        <v>940</v>
      </c>
      <c r="C41" s="1029">
        <f t="shared" si="17"/>
        <v>5473483.8899999997</v>
      </c>
      <c r="D41" s="1029">
        <f t="shared" si="18"/>
        <v>5473483.8899999997</v>
      </c>
      <c r="E41" s="1029"/>
      <c r="F41" s="1029"/>
      <c r="G41" s="1029">
        <f t="shared" si="2"/>
        <v>5473484</v>
      </c>
      <c r="H41" s="1029"/>
      <c r="I41" s="1029">
        <f t="shared" si="3"/>
        <v>0</v>
      </c>
      <c r="J41" s="1029">
        <f t="shared" si="3"/>
        <v>675244.29</v>
      </c>
      <c r="K41" s="1029">
        <f t="shared" si="3"/>
        <v>4798239.5999999996</v>
      </c>
      <c r="L41" s="1029"/>
      <c r="M41" s="834">
        <v>0</v>
      </c>
      <c r="N41" s="834">
        <v>675244.29</v>
      </c>
      <c r="O41" s="834">
        <v>4798239.5999999996</v>
      </c>
      <c r="P41" s="1029"/>
      <c r="Q41" s="834">
        <v>0</v>
      </c>
      <c r="R41" s="834">
        <v>675244.29</v>
      </c>
      <c r="S41" s="834">
        <v>4798239.5999999996</v>
      </c>
    </row>
    <row r="42" spans="1:19">
      <c r="A42" s="1058">
        <f t="shared" si="4"/>
        <v>5.1499999999999968</v>
      </c>
      <c r="B42" s="834" t="s">
        <v>941</v>
      </c>
      <c r="C42" s="1029">
        <f t="shared" si="0"/>
        <v>5404508.9100000001</v>
      </c>
      <c r="D42" s="1029">
        <f t="shared" si="1"/>
        <v>5404508.9100000001</v>
      </c>
      <c r="E42" s="1029"/>
      <c r="F42" s="1029"/>
      <c r="G42" s="1029">
        <f t="shared" si="2"/>
        <v>5404509</v>
      </c>
      <c r="H42" s="1029"/>
      <c r="I42" s="1029">
        <f t="shared" si="3"/>
        <v>5404508.9100000001</v>
      </c>
      <c r="J42" s="1029">
        <f t="shared" si="3"/>
        <v>0</v>
      </c>
      <c r="K42" s="1029">
        <f t="shared" si="3"/>
        <v>0</v>
      </c>
      <c r="L42" s="1029"/>
      <c r="M42" s="834">
        <v>5404508.9100000001</v>
      </c>
      <c r="N42" s="834">
        <v>0</v>
      </c>
      <c r="O42" s="834">
        <v>0</v>
      </c>
      <c r="P42" s="1029"/>
      <c r="Q42" s="834">
        <v>5404508.9100000001</v>
      </c>
      <c r="R42" s="834">
        <v>0</v>
      </c>
      <c r="S42" s="834">
        <v>0</v>
      </c>
    </row>
    <row r="43" spans="1:19">
      <c r="A43" s="1058">
        <f t="shared" si="4"/>
        <v>5.1599999999999966</v>
      </c>
      <c r="B43" s="834" t="s">
        <v>942</v>
      </c>
      <c r="C43" s="1029">
        <f t="shared" si="0"/>
        <v>13084509.689999999</v>
      </c>
      <c r="D43" s="1029">
        <f t="shared" si="1"/>
        <v>13084509.689999999</v>
      </c>
      <c r="E43" s="1029"/>
      <c r="F43" s="1029"/>
      <c r="G43" s="1029">
        <f t="shared" si="2"/>
        <v>13084510</v>
      </c>
      <c r="H43" s="1029"/>
      <c r="I43" s="1029">
        <f t="shared" si="3"/>
        <v>13084509.689999999</v>
      </c>
      <c r="J43" s="1029">
        <f t="shared" si="3"/>
        <v>0</v>
      </c>
      <c r="K43" s="1029">
        <f t="shared" si="3"/>
        <v>0</v>
      </c>
      <c r="L43" s="1029"/>
      <c r="M43" s="834">
        <v>13084509.689999999</v>
      </c>
      <c r="N43" s="834">
        <v>0</v>
      </c>
      <c r="O43" s="834">
        <v>0</v>
      </c>
      <c r="P43" s="1029"/>
      <c r="Q43" s="834">
        <v>13084509.689999999</v>
      </c>
      <c r="R43" s="834">
        <v>0</v>
      </c>
      <c r="S43" s="834">
        <v>0</v>
      </c>
    </row>
    <row r="44" spans="1:19">
      <c r="A44" s="1058">
        <f t="shared" si="4"/>
        <v>5.1699999999999964</v>
      </c>
      <c r="B44" s="834" t="s">
        <v>943</v>
      </c>
      <c r="C44" s="1029">
        <f t="shared" si="0"/>
        <v>0.54999999999999982</v>
      </c>
      <c r="D44" s="1029">
        <f t="shared" si="1"/>
        <v>0.54999999999999982</v>
      </c>
      <c r="E44" s="1029"/>
      <c r="F44" s="1029"/>
      <c r="G44" s="1029">
        <f t="shared" si="2"/>
        <v>1</v>
      </c>
      <c r="H44" s="1029"/>
      <c r="I44" s="1029">
        <f t="shared" si="3"/>
        <v>0</v>
      </c>
      <c r="J44" s="1029">
        <f t="shared" si="3"/>
        <v>3.07</v>
      </c>
      <c r="K44" s="1029">
        <f t="shared" si="3"/>
        <v>-2.52</v>
      </c>
      <c r="L44" s="1029"/>
      <c r="M44" s="834">
        <v>0</v>
      </c>
      <c r="N44" s="834">
        <v>3.07</v>
      </c>
      <c r="O44" s="834">
        <v>-2.52</v>
      </c>
      <c r="P44" s="1029"/>
      <c r="Q44" s="834">
        <v>0</v>
      </c>
      <c r="R44" s="834">
        <v>3.07</v>
      </c>
      <c r="S44" s="834">
        <v>-2.52</v>
      </c>
    </row>
    <row r="45" spans="1:19">
      <c r="A45" s="1058">
        <f t="shared" si="4"/>
        <v>5.1799999999999962</v>
      </c>
      <c r="B45" s="834" t="s">
        <v>944</v>
      </c>
      <c r="C45" s="1029">
        <f t="shared" si="0"/>
        <v>49019.670000000006</v>
      </c>
      <c r="D45" s="1029">
        <f t="shared" si="1"/>
        <v>49019.670000000006</v>
      </c>
      <c r="E45" s="1029"/>
      <c r="F45" s="1029"/>
      <c r="G45" s="1029">
        <f t="shared" si="2"/>
        <v>49020</v>
      </c>
      <c r="H45" s="1029"/>
      <c r="I45" s="1029">
        <f t="shared" si="3"/>
        <v>0</v>
      </c>
      <c r="J45" s="1029">
        <f t="shared" si="3"/>
        <v>7587.3</v>
      </c>
      <c r="K45" s="1029">
        <f t="shared" si="3"/>
        <v>41432.370000000003</v>
      </c>
      <c r="L45" s="1029"/>
      <c r="M45" s="834">
        <v>0</v>
      </c>
      <c r="N45" s="834">
        <v>7587.3</v>
      </c>
      <c r="O45" s="834">
        <v>41432.370000000003</v>
      </c>
      <c r="P45" s="1029"/>
      <c r="Q45" s="834">
        <v>0</v>
      </c>
      <c r="R45" s="834">
        <v>7587.3</v>
      </c>
      <c r="S45" s="834">
        <v>41432.370000000003</v>
      </c>
    </row>
    <row r="46" spans="1:19">
      <c r="A46" s="1058">
        <f t="shared" si="4"/>
        <v>5.1899999999999959</v>
      </c>
      <c r="B46" s="834" t="s">
        <v>945</v>
      </c>
      <c r="C46" s="1029">
        <f t="shared" si="0"/>
        <v>300244.24</v>
      </c>
      <c r="D46" s="1029">
        <f t="shared" si="1"/>
        <v>298260.14</v>
      </c>
      <c r="E46" s="1029"/>
      <c r="F46" s="1029"/>
      <c r="G46" s="1029">
        <f t="shared" si="2"/>
        <v>299252</v>
      </c>
      <c r="H46" s="1029"/>
      <c r="I46" s="1029">
        <f t="shared" si="3"/>
        <v>0</v>
      </c>
      <c r="J46" s="1029">
        <f t="shared" si="3"/>
        <v>26547.4</v>
      </c>
      <c r="K46" s="1029">
        <f t="shared" si="3"/>
        <v>272704.79000000004</v>
      </c>
      <c r="L46" s="1029"/>
      <c r="M46" s="834">
        <v>0</v>
      </c>
      <c r="N46" s="834">
        <v>25960.300000000003</v>
      </c>
      <c r="O46" s="834">
        <v>274283.94</v>
      </c>
      <c r="P46" s="1029"/>
      <c r="Q46" s="834">
        <v>0</v>
      </c>
      <c r="R46" s="834">
        <v>27134.500000000004</v>
      </c>
      <c r="S46" s="834">
        <v>271125.64</v>
      </c>
    </row>
    <row r="47" spans="1:19">
      <c r="A47" s="1058">
        <f t="shared" si="4"/>
        <v>5.1999999999999957</v>
      </c>
      <c r="B47" s="834" t="s">
        <v>946</v>
      </c>
      <c r="C47" s="1029">
        <f t="shared" si="0"/>
        <v>0.26</v>
      </c>
      <c r="D47" s="1029">
        <f t="shared" si="1"/>
        <v>0.26</v>
      </c>
      <c r="E47" s="1029"/>
      <c r="F47" s="1029"/>
      <c r="G47" s="1029">
        <f t="shared" si="2"/>
        <v>0</v>
      </c>
      <c r="H47" s="1029"/>
      <c r="I47" s="1029">
        <f t="shared" si="3"/>
        <v>0</v>
      </c>
      <c r="J47" s="1029">
        <f t="shared" si="3"/>
        <v>0</v>
      </c>
      <c r="K47" s="1029">
        <f t="shared" si="3"/>
        <v>0.26</v>
      </c>
      <c r="L47" s="1029"/>
      <c r="M47" s="834">
        <v>0</v>
      </c>
      <c r="N47" s="834">
        <v>0</v>
      </c>
      <c r="O47" s="834">
        <v>0.26</v>
      </c>
      <c r="P47" s="1029"/>
      <c r="Q47" s="834">
        <v>0</v>
      </c>
      <c r="R47" s="834">
        <v>0</v>
      </c>
      <c r="S47" s="834">
        <v>0.26</v>
      </c>
    </row>
    <row r="48" spans="1:19">
      <c r="A48" s="1058">
        <f t="shared" si="4"/>
        <v>5.2099999999999955</v>
      </c>
      <c r="B48" s="834" t="s">
        <v>1029</v>
      </c>
      <c r="C48" s="1029">
        <f t="shared" ref="C48:C49" si="19">SUM(M48:O48)</f>
        <v>654661.56000000006</v>
      </c>
      <c r="D48" s="1029">
        <f t="shared" ref="D48:D49" si="20">SUM(Q48:S48)</f>
        <v>604965.25</v>
      </c>
      <c r="E48" s="1029"/>
      <c r="F48" s="1029"/>
      <c r="G48" s="1029">
        <f t="shared" ref="G48:G49" si="21">ROUND(SUM(C48:F48)/2,0)</f>
        <v>629813</v>
      </c>
      <c r="H48" s="1029"/>
      <c r="I48" s="1029">
        <f t="shared" ref="I48:I49" si="22">(M48+Q48)/2</f>
        <v>62766.915000000001</v>
      </c>
      <c r="J48" s="1029">
        <f t="shared" ref="J48:J49" si="23">(N48+R48)/2</f>
        <v>0</v>
      </c>
      <c r="K48" s="1029">
        <f t="shared" ref="K48:K49" si="24">(O48+S48)/2</f>
        <v>567046.49</v>
      </c>
      <c r="L48" s="1029"/>
      <c r="M48" s="834">
        <v>67941.440000000002</v>
      </c>
      <c r="N48" s="834">
        <v>0</v>
      </c>
      <c r="O48" s="834">
        <v>586720.12</v>
      </c>
      <c r="P48" s="1029"/>
      <c r="Q48" s="834">
        <v>57592.39</v>
      </c>
      <c r="R48" s="834">
        <v>0</v>
      </c>
      <c r="S48" s="834">
        <v>547372.86</v>
      </c>
    </row>
    <row r="49" spans="1:19">
      <c r="A49" s="1058">
        <f t="shared" si="4"/>
        <v>5.2199999999999953</v>
      </c>
      <c r="B49" s="834" t="s">
        <v>1169</v>
      </c>
      <c r="C49" s="1029">
        <f t="shared" si="19"/>
        <v>-2595921</v>
      </c>
      <c r="D49" s="1029">
        <f t="shared" si="20"/>
        <v>-2595921</v>
      </c>
      <c r="E49" s="1029"/>
      <c r="F49" s="1029"/>
      <c r="G49" s="1029">
        <f t="shared" si="21"/>
        <v>-2595921</v>
      </c>
      <c r="H49" s="1029"/>
      <c r="I49" s="1029">
        <f t="shared" si="22"/>
        <v>-2793198</v>
      </c>
      <c r="J49" s="1029">
        <f t="shared" si="23"/>
        <v>230342</v>
      </c>
      <c r="K49" s="1029">
        <f t="shared" si="24"/>
        <v>-33065</v>
      </c>
      <c r="L49" s="1029"/>
      <c r="M49" s="834">
        <v>-2793198</v>
      </c>
      <c r="N49" s="834">
        <v>230342</v>
      </c>
      <c r="O49" s="834">
        <v>-33065</v>
      </c>
      <c r="P49" s="1029"/>
      <c r="Q49" s="834">
        <v>-2793198</v>
      </c>
      <c r="R49" s="834">
        <v>230342</v>
      </c>
      <c r="S49" s="834">
        <v>-33065</v>
      </c>
    </row>
    <row r="50" spans="1:19">
      <c r="A50" s="1058">
        <f t="shared" si="4"/>
        <v>5.2299999999999951</v>
      </c>
      <c r="B50" s="834" t="s">
        <v>1131</v>
      </c>
      <c r="C50" s="1029">
        <f t="shared" ref="C50" si="25">SUM(M50:O50)</f>
        <v>0</v>
      </c>
      <c r="D50" s="1029">
        <f t="shared" ref="D50" si="26">SUM(Q50:S50)</f>
        <v>0</v>
      </c>
      <c r="E50" s="1029"/>
      <c r="F50" s="1029"/>
      <c r="G50" s="1029">
        <f t="shared" ref="G50" si="27">ROUND(SUM(C50:F50)/2,0)</f>
        <v>0</v>
      </c>
      <c r="H50" s="1029"/>
      <c r="I50" s="1029">
        <f t="shared" ref="I50" si="28">(M50+Q50)/2</f>
        <v>0</v>
      </c>
      <c r="J50" s="1029">
        <f t="shared" ref="J50" si="29">(N50+R50)/2</f>
        <v>0</v>
      </c>
      <c r="K50" s="1029">
        <f t="shared" ref="K50" si="30">(O50+S50)/2</f>
        <v>0</v>
      </c>
      <c r="L50" s="1029"/>
      <c r="M50" s="834">
        <v>0</v>
      </c>
      <c r="N50" s="834">
        <v>0</v>
      </c>
      <c r="O50" s="834">
        <v>0</v>
      </c>
      <c r="P50" s="1029"/>
      <c r="Q50" s="834">
        <v>0</v>
      </c>
      <c r="R50" s="834">
        <v>0</v>
      </c>
      <c r="S50" s="834">
        <v>0</v>
      </c>
    </row>
    <row r="51" spans="1:19">
      <c r="A51" s="1058">
        <f t="shared" si="4"/>
        <v>5.2399999999999949</v>
      </c>
      <c r="B51" s="834" t="s">
        <v>947</v>
      </c>
      <c r="C51" s="1029">
        <f t="shared" si="0"/>
        <v>28255143.440000005</v>
      </c>
      <c r="D51" s="1029">
        <f t="shared" si="1"/>
        <v>27198984.440000005</v>
      </c>
      <c r="E51" s="1029"/>
      <c r="F51" s="1029"/>
      <c r="G51" s="1029">
        <f t="shared" si="2"/>
        <v>27727064</v>
      </c>
      <c r="H51" s="1029"/>
      <c r="I51" s="1029">
        <f t="shared" si="3"/>
        <v>12041371.470000003</v>
      </c>
      <c r="J51" s="1029">
        <f t="shared" si="3"/>
        <v>10310038.939999999</v>
      </c>
      <c r="K51" s="1029">
        <f t="shared" si="3"/>
        <v>5375653.5300000003</v>
      </c>
      <c r="L51" s="1029"/>
      <c r="M51" s="834">
        <v>12397480.470000003</v>
      </c>
      <c r="N51" s="834">
        <v>10466530.439999999</v>
      </c>
      <c r="O51" s="834">
        <v>5391132.5300000003</v>
      </c>
      <c r="P51" s="1029"/>
      <c r="Q51" s="834">
        <v>11685262.470000003</v>
      </c>
      <c r="R51" s="834">
        <v>10153547.439999999</v>
      </c>
      <c r="S51" s="834">
        <v>5360174.53</v>
      </c>
    </row>
    <row r="52" spans="1:19">
      <c r="A52" s="1058">
        <f t="shared" si="4"/>
        <v>5.2499999999999947</v>
      </c>
      <c r="B52" s="1408" t="s">
        <v>1167</v>
      </c>
      <c r="C52" s="1408">
        <f t="shared" ref="C52" si="31">SUM(M52:O52)</f>
        <v>0</v>
      </c>
      <c r="D52" s="1408">
        <f t="shared" ref="D52" si="32">SUM(Q52:S52)</f>
        <v>0</v>
      </c>
      <c r="E52" s="1409"/>
      <c r="F52" s="1409"/>
      <c r="G52" s="1029">
        <f t="shared" ref="G52" si="33">ROUND(SUM(C52:F52)/2,0)</f>
        <v>0</v>
      </c>
      <c r="H52" s="1029"/>
      <c r="I52" s="1029">
        <f t="shared" si="3"/>
        <v>0</v>
      </c>
      <c r="J52" s="1029">
        <f t="shared" si="3"/>
        <v>0</v>
      </c>
      <c r="K52" s="1029">
        <f t="shared" si="3"/>
        <v>0</v>
      </c>
      <c r="L52" s="1029"/>
      <c r="M52" s="834">
        <v>0</v>
      </c>
      <c r="N52" s="834">
        <v>0</v>
      </c>
      <c r="O52" s="834">
        <v>0</v>
      </c>
      <c r="P52" s="1029"/>
      <c r="Q52" s="834">
        <v>0</v>
      </c>
      <c r="R52" s="834">
        <v>0</v>
      </c>
      <c r="S52" s="834">
        <v>0</v>
      </c>
    </row>
    <row r="53" spans="1:19">
      <c r="A53" s="1058">
        <f t="shared" si="4"/>
        <v>5.2599999999999945</v>
      </c>
      <c r="B53" s="1408" t="s">
        <v>1168</v>
      </c>
      <c r="C53" s="1408">
        <f>-E53</f>
        <v>0</v>
      </c>
      <c r="D53" s="1408">
        <f>-F53</f>
        <v>0</v>
      </c>
      <c r="E53" s="1409">
        <f>C52</f>
        <v>0</v>
      </c>
      <c r="F53" s="1409">
        <f>D52</f>
        <v>0</v>
      </c>
      <c r="G53" s="1029">
        <f>-E53</f>
        <v>0</v>
      </c>
      <c r="H53" s="1029"/>
      <c r="I53" s="1029"/>
      <c r="J53" s="1029"/>
      <c r="K53" s="1029"/>
      <c r="L53" s="1029"/>
      <c r="M53" s="834"/>
      <c r="N53" s="834"/>
      <c r="O53" s="834"/>
      <c r="P53" s="1029"/>
      <c r="Q53" s="834"/>
      <c r="R53" s="834"/>
      <c r="S53" s="834"/>
    </row>
    <row r="54" spans="1:19">
      <c r="A54" s="1058">
        <f t="shared" si="4"/>
        <v>5.2699999999999942</v>
      </c>
      <c r="B54" s="834" t="s">
        <v>926</v>
      </c>
      <c r="C54" s="834">
        <f>-E54</f>
        <v>0</v>
      </c>
      <c r="D54" s="834">
        <f>-F54</f>
        <v>0</v>
      </c>
      <c r="E54" s="1029"/>
      <c r="F54" s="1029"/>
      <c r="G54" s="1029">
        <f t="shared" si="2"/>
        <v>0</v>
      </c>
      <c r="H54" s="1029"/>
      <c r="I54" s="1029"/>
      <c r="J54" s="1029"/>
      <c r="K54" s="1029"/>
      <c r="L54" s="1029"/>
      <c r="M54" s="834"/>
      <c r="N54" s="834"/>
      <c r="O54" s="834"/>
      <c r="P54" s="1029"/>
      <c r="Q54" s="834"/>
      <c r="R54" s="834"/>
      <c r="S54" s="834"/>
    </row>
    <row r="55" spans="1:19">
      <c r="A55" s="1058">
        <f t="shared" si="4"/>
        <v>5.279999999999994</v>
      </c>
      <c r="B55" s="834" t="s">
        <v>948</v>
      </c>
      <c r="C55" s="834">
        <f t="shared" ref="C55:C57" si="34">-E55</f>
        <v>5742186.9500000002</v>
      </c>
      <c r="D55" s="834">
        <f t="shared" ref="D55:D57" si="35">-F55</f>
        <v>7803987.9500000002</v>
      </c>
      <c r="E55" s="1029">
        <v>-5742186.9500000002</v>
      </c>
      <c r="F55" s="1029">
        <v>-7803987.9500000002</v>
      </c>
      <c r="G55" s="1029">
        <f t="shared" si="2"/>
        <v>0</v>
      </c>
      <c r="H55" s="1029"/>
      <c r="I55" s="1029"/>
      <c r="J55" s="1029"/>
      <c r="K55" s="1029"/>
      <c r="L55" s="1029"/>
      <c r="M55" s="834"/>
      <c r="N55" s="834"/>
      <c r="O55" s="834"/>
      <c r="P55" s="1029"/>
      <c r="Q55" s="834"/>
      <c r="R55" s="834"/>
      <c r="S55" s="834"/>
    </row>
    <row r="56" spans="1:19">
      <c r="A56" s="1058">
        <f t="shared" si="4"/>
        <v>5.2899999999999938</v>
      </c>
      <c r="B56" s="834" t="s">
        <v>949</v>
      </c>
      <c r="C56" s="834">
        <f t="shared" ref="C56" si="36">-E56</f>
        <v>-28255143.440000001</v>
      </c>
      <c r="D56" s="834">
        <f t="shared" ref="D56" si="37">-F56</f>
        <v>-27198984.440000001</v>
      </c>
      <c r="E56" s="1029">
        <v>28255143.440000001</v>
      </c>
      <c r="F56" s="1029">
        <v>27198984.440000001</v>
      </c>
      <c r="G56" s="1029">
        <f t="shared" ref="G56" si="38">ROUND(SUM(C56:F56)/2,0)</f>
        <v>0</v>
      </c>
      <c r="H56" s="1029"/>
      <c r="I56" s="1029"/>
      <c r="J56" s="1029"/>
      <c r="K56" s="1029"/>
      <c r="L56" s="1029"/>
      <c r="M56" s="834"/>
      <c r="N56" s="834"/>
      <c r="O56" s="834"/>
      <c r="P56" s="1029"/>
      <c r="Q56" s="834"/>
      <c r="R56" s="834"/>
      <c r="S56" s="834"/>
    </row>
    <row r="57" spans="1:19">
      <c r="A57" s="1058">
        <f t="shared" si="4"/>
        <v>5.2999999999999936</v>
      </c>
      <c r="B57" s="834" t="s">
        <v>1164</v>
      </c>
      <c r="C57" s="834">
        <f t="shared" si="34"/>
        <v>2595921</v>
      </c>
      <c r="D57" s="834">
        <f t="shared" si="35"/>
        <v>2595921</v>
      </c>
      <c r="E57" s="1029">
        <v>-2595921</v>
      </c>
      <c r="F57" s="1029">
        <v>-2595921</v>
      </c>
      <c r="G57" s="1029">
        <f t="shared" si="2"/>
        <v>0</v>
      </c>
      <c r="H57" s="1029"/>
      <c r="I57" s="1029"/>
      <c r="J57" s="1029"/>
      <c r="K57" s="1029"/>
      <c r="L57" s="1029"/>
      <c r="M57" s="834"/>
      <c r="N57" s="834"/>
      <c r="O57" s="834"/>
      <c r="P57" s="1029"/>
      <c r="Q57" s="834"/>
      <c r="R57" s="834"/>
      <c r="S57" s="834"/>
    </row>
    <row r="58" spans="1:19">
      <c r="A58"/>
    </row>
    <row r="59" spans="1:19">
      <c r="A59" s="1038"/>
      <c r="B59" s="1019"/>
      <c r="C59" s="1029"/>
      <c r="D59" s="1029"/>
      <c r="E59" s="1029"/>
      <c r="F59" s="1029"/>
      <c r="G59" s="1029"/>
      <c r="H59" s="1029"/>
      <c r="I59" s="1029"/>
      <c r="J59" s="1029"/>
      <c r="K59" s="1029"/>
      <c r="L59" s="1029"/>
      <c r="M59" s="1029"/>
      <c r="N59" s="1029"/>
      <c r="O59" s="1029"/>
      <c r="P59" s="1029"/>
      <c r="Q59" s="1029"/>
      <c r="R59" s="1029"/>
      <c r="S59" s="1029"/>
    </row>
    <row r="60" spans="1:19" ht="13.5" thickBot="1">
      <c r="A60" s="1038">
        <v>6</v>
      </c>
      <c r="B60" s="1020" t="s">
        <v>723</v>
      </c>
      <c r="C60" s="1031">
        <f>SUM(C28:C59)</f>
        <v>114317336.69</v>
      </c>
      <c r="D60" s="1031">
        <f>SUM(D28:D59)</f>
        <v>120955818.74000001</v>
      </c>
      <c r="E60" s="1031">
        <f>SUM(E28:E59)</f>
        <v>19917035.490000002</v>
      </c>
      <c r="F60" s="1031">
        <f>SUM(F28:F59)</f>
        <v>16799075.490000002</v>
      </c>
      <c r="G60" s="1031">
        <f>SUM(G28:G59)</f>
        <v>135994634</v>
      </c>
      <c r="H60" s="1029"/>
      <c r="I60" s="1031">
        <f>SUM(I28:I59)</f>
        <v>78534292.375000015</v>
      </c>
      <c r="J60" s="1031">
        <f>SUM(J28:J59)</f>
        <v>28232942.609999999</v>
      </c>
      <c r="K60" s="1031">
        <f>SUM(K28:K59)</f>
        <v>29227398.220000006</v>
      </c>
      <c r="L60" s="1029"/>
      <c r="M60" s="1031">
        <f>SUM(M28:M59)</f>
        <v>76482454.579999998</v>
      </c>
      <c r="N60" s="1031">
        <f>SUM(N28:N59)</f>
        <v>28283020.399999999</v>
      </c>
      <c r="O60" s="1031">
        <f>SUM(O28:O59)</f>
        <v>29468897.200000007</v>
      </c>
      <c r="P60" s="1029"/>
      <c r="Q60" s="1031">
        <f>SUM(Q28:Q59)</f>
        <v>80586130.169999987</v>
      </c>
      <c r="R60" s="1031">
        <f>SUM(R28:R59)</f>
        <v>28182864.82</v>
      </c>
      <c r="S60" s="1031">
        <f>SUM(S28:S59)</f>
        <v>28985899.240000006</v>
      </c>
    </row>
    <row r="61" spans="1:19" ht="13.5" thickTop="1">
      <c r="A61" s="1038">
        <f>A60+1</f>
        <v>7</v>
      </c>
      <c r="B61" s="1105" t="s">
        <v>736</v>
      </c>
      <c r="C61" s="1032">
        <f>C33</f>
        <v>913930.57</v>
      </c>
      <c r="D61" s="1032">
        <f>D33</f>
        <v>751468.38000000012</v>
      </c>
      <c r="E61" s="1032">
        <f>E33</f>
        <v>0</v>
      </c>
      <c r="F61" s="1032">
        <f>F33</f>
        <v>0</v>
      </c>
      <c r="G61" s="1032">
        <f>G33</f>
        <v>832699</v>
      </c>
      <c r="H61" s="1029"/>
      <c r="I61" s="1032">
        <f>I33</f>
        <v>819443.63</v>
      </c>
      <c r="J61" s="1032">
        <f>J33</f>
        <v>14085.57</v>
      </c>
      <c r="K61" s="1032">
        <f>K33</f>
        <v>-829.72499999999991</v>
      </c>
      <c r="L61" s="1032"/>
      <c r="M61" s="1032">
        <f>M33</f>
        <v>900846.09</v>
      </c>
      <c r="N61" s="1032">
        <f>N33</f>
        <v>14671.59</v>
      </c>
      <c r="O61" s="1032">
        <f>O33</f>
        <v>-1587.11</v>
      </c>
      <c r="P61" s="1029"/>
      <c r="Q61" s="1032">
        <f>Q33</f>
        <v>738041.17</v>
      </c>
      <c r="R61" s="1032">
        <f>R33</f>
        <v>13499.55</v>
      </c>
      <c r="S61" s="1032">
        <f>S33</f>
        <v>-72.339999999999918</v>
      </c>
    </row>
    <row r="62" spans="1:19">
      <c r="A62" s="1038"/>
      <c r="B62" s="1020"/>
      <c r="C62" s="1029"/>
      <c r="D62" s="1034"/>
      <c r="E62" s="1029"/>
      <c r="F62" s="1029"/>
      <c r="G62" s="1029"/>
      <c r="H62" s="1029"/>
      <c r="I62" s="1029"/>
      <c r="J62" s="1029"/>
      <c r="K62" s="1029"/>
      <c r="L62" s="1029"/>
      <c r="M62" s="1029"/>
      <c r="N62" s="1029"/>
      <c r="O62" s="1029"/>
      <c r="P62" s="1029"/>
      <c r="Q62" s="1029"/>
      <c r="R62" s="1029"/>
      <c r="S62" s="1029"/>
    </row>
    <row r="63" spans="1:19">
      <c r="A63" s="1038">
        <v>8</v>
      </c>
      <c r="B63" s="233" t="s">
        <v>724</v>
      </c>
      <c r="C63" s="1029" t="s">
        <v>114</v>
      </c>
      <c r="D63" s="1029"/>
      <c r="E63" s="1029"/>
      <c r="F63" s="1029"/>
      <c r="G63" s="1029"/>
      <c r="H63" s="1029"/>
      <c r="I63" s="1029"/>
      <c r="J63" s="1029"/>
      <c r="K63" s="1029"/>
      <c r="L63" s="1029"/>
      <c r="M63" s="1029"/>
      <c r="N63" s="1029"/>
      <c r="O63" s="1029"/>
      <c r="P63" s="1029"/>
      <c r="Q63" s="1029"/>
      <c r="R63" s="1029"/>
      <c r="S63" s="1029"/>
    </row>
    <row r="64" spans="1:19">
      <c r="A64" s="1038"/>
      <c r="B64" s="1019"/>
      <c r="C64" s="1029"/>
      <c r="D64" s="1029"/>
      <c r="E64" s="1029"/>
      <c r="F64" s="1029"/>
      <c r="G64" s="1029"/>
      <c r="H64" s="1029"/>
      <c r="I64" s="1029"/>
      <c r="J64" s="1029"/>
      <c r="K64" s="1029"/>
      <c r="L64" s="1029"/>
      <c r="M64" s="1029"/>
      <c r="N64" s="1029"/>
      <c r="O64" s="1029"/>
      <c r="P64" s="1029"/>
      <c r="Q64" s="1029"/>
      <c r="R64" s="1029"/>
      <c r="S64" s="1029"/>
    </row>
    <row r="65" spans="1:19">
      <c r="A65" s="1058">
        <v>9.01</v>
      </c>
      <c r="B65" s="834" t="s">
        <v>950</v>
      </c>
      <c r="C65" s="1029">
        <f>SUM(M65:O65)</f>
        <v>1182585.76</v>
      </c>
      <c r="D65" s="1029">
        <f t="shared" ref="D65:D113" si="39">SUM(Q65:S65)</f>
        <v>1183437.5</v>
      </c>
      <c r="E65" s="1029"/>
      <c r="F65" s="1029"/>
      <c r="G65" s="1029">
        <f t="shared" ref="G65:G105" si="40">ROUND(SUM(C65:F65)/2,0)</f>
        <v>1183012</v>
      </c>
      <c r="H65" s="1029"/>
      <c r="I65" s="1029">
        <f>(M65+Q65)/2</f>
        <v>0</v>
      </c>
      <c r="J65" s="1029">
        <f>(N65+R65)/2</f>
        <v>201142.27499999999</v>
      </c>
      <c r="K65" s="1029">
        <f>(O65+S65)/2</f>
        <v>981869.35499999998</v>
      </c>
      <c r="L65" s="1029"/>
      <c r="M65" s="834">
        <v>0</v>
      </c>
      <c r="N65" s="834">
        <v>198046.87</v>
      </c>
      <c r="O65" s="834">
        <v>984538.89</v>
      </c>
      <c r="P65" s="1029"/>
      <c r="Q65" s="834">
        <v>0</v>
      </c>
      <c r="R65" s="834">
        <v>204237.68</v>
      </c>
      <c r="S65" s="834">
        <v>979199.82</v>
      </c>
    </row>
    <row r="66" spans="1:19">
      <c r="A66" s="1058">
        <f t="shared" ref="A66:A69" si="41">A65+0.01</f>
        <v>9.02</v>
      </c>
      <c r="B66" s="834" t="s">
        <v>951</v>
      </c>
      <c r="C66" s="1029">
        <f t="shared" ref="C66:C113" si="42">SUM(M66:O66)</f>
        <v>-563500.77</v>
      </c>
      <c r="D66" s="1029">
        <f t="shared" si="39"/>
        <v>-671214.39</v>
      </c>
      <c r="E66" s="1029"/>
      <c r="F66" s="1029"/>
      <c r="G66" s="1029">
        <f>ROUND(SUM(C66:F66)/2,0)</f>
        <v>-617358</v>
      </c>
      <c r="H66" s="1029"/>
      <c r="I66" s="1029">
        <f t="shared" ref="I66:K106" si="43">(M66+Q66)/2</f>
        <v>0</v>
      </c>
      <c r="J66" s="1029">
        <f t="shared" si="43"/>
        <v>-101382.54000000001</v>
      </c>
      <c r="K66" s="1029">
        <f t="shared" si="43"/>
        <v>-515975.04000000004</v>
      </c>
      <c r="L66" s="1029"/>
      <c r="M66" s="834">
        <v>0</v>
      </c>
      <c r="N66" s="834">
        <v>-92308.86</v>
      </c>
      <c r="O66" s="834">
        <v>-471191.91</v>
      </c>
      <c r="P66" s="1029"/>
      <c r="Q66" s="834">
        <v>0</v>
      </c>
      <c r="R66" s="834">
        <v>-110456.22</v>
      </c>
      <c r="S66" s="834">
        <v>-560758.17000000004</v>
      </c>
    </row>
    <row r="67" spans="1:19">
      <c r="A67" s="1058">
        <f t="shared" si="41"/>
        <v>9.0299999999999994</v>
      </c>
      <c r="B67" s="834" t="s">
        <v>1129</v>
      </c>
      <c r="C67" s="1029">
        <f t="shared" ref="C67" si="44">SUM(M67:O67)</f>
        <v>1801.59</v>
      </c>
      <c r="D67" s="1029">
        <f t="shared" ref="D67" si="45">SUM(Q67:S67)</f>
        <v>3558.8</v>
      </c>
      <c r="E67" s="1029"/>
      <c r="F67" s="1029"/>
      <c r="G67" s="1029">
        <f>ROUND(SUM(C67:F67)/2,0)</f>
        <v>2680</v>
      </c>
      <c r="H67" s="1029"/>
      <c r="I67" s="1029">
        <f t="shared" ref="I67" si="46">(M67+Q67)/2</f>
        <v>878.60500000000002</v>
      </c>
      <c r="J67" s="1029">
        <f t="shared" ref="J67" si="47">(N67+R67)/2</f>
        <v>1653.75</v>
      </c>
      <c r="K67" s="1029">
        <f t="shared" ref="K67" si="48">(O67+S67)/2</f>
        <v>147.84</v>
      </c>
      <c r="L67" s="1029"/>
      <c r="M67" s="834">
        <v>0</v>
      </c>
      <c r="N67" s="834">
        <v>1653.75</v>
      </c>
      <c r="O67" s="834">
        <v>147.84</v>
      </c>
      <c r="P67" s="1029"/>
      <c r="Q67" s="834">
        <v>1757.21</v>
      </c>
      <c r="R67" s="834">
        <v>1653.75</v>
      </c>
      <c r="S67" s="834">
        <v>147.84</v>
      </c>
    </row>
    <row r="68" spans="1:19">
      <c r="A68" s="1058">
        <f t="shared" si="41"/>
        <v>9.0399999999999991</v>
      </c>
      <c r="B68" s="834" t="s">
        <v>952</v>
      </c>
      <c r="C68" s="1029">
        <f t="shared" si="42"/>
        <v>21344419.48</v>
      </c>
      <c r="D68" s="1029">
        <f t="shared" si="39"/>
        <v>48521144.899999999</v>
      </c>
      <c r="E68" s="1029"/>
      <c r="F68" s="1029"/>
      <c r="G68" s="1029">
        <f t="shared" si="40"/>
        <v>34932782</v>
      </c>
      <c r="H68" s="1029"/>
      <c r="I68" s="1029">
        <f t="shared" si="43"/>
        <v>34932782.189999998</v>
      </c>
      <c r="J68" s="1029">
        <f t="shared" si="43"/>
        <v>0</v>
      </c>
      <c r="K68" s="1029">
        <f t="shared" si="43"/>
        <v>0</v>
      </c>
      <c r="L68" s="1029"/>
      <c r="M68" s="834">
        <v>21344419.48</v>
      </c>
      <c r="N68" s="834">
        <v>0</v>
      </c>
      <c r="O68" s="834">
        <v>0</v>
      </c>
      <c r="P68" s="1029"/>
      <c r="Q68" s="834">
        <v>48521144.899999999</v>
      </c>
      <c r="R68" s="834">
        <v>0</v>
      </c>
      <c r="S68" s="834">
        <v>0</v>
      </c>
    </row>
    <row r="69" spans="1:19">
      <c r="A69" s="1058">
        <f t="shared" si="41"/>
        <v>9.0499999999999989</v>
      </c>
      <c r="B69" s="834" t="s">
        <v>953</v>
      </c>
      <c r="C69" s="1029">
        <f t="shared" si="42"/>
        <v>0.04</v>
      </c>
      <c r="D69" s="1029">
        <f t="shared" si="39"/>
        <v>0.04</v>
      </c>
      <c r="E69" s="1029"/>
      <c r="F69" s="1029"/>
      <c r="G69" s="1029">
        <f t="shared" si="40"/>
        <v>0</v>
      </c>
      <c r="H69" s="1029"/>
      <c r="I69" s="1029">
        <f t="shared" si="43"/>
        <v>0.04</v>
      </c>
      <c r="J69" s="1029">
        <f t="shared" si="43"/>
        <v>0</v>
      </c>
      <c r="K69" s="1029">
        <f t="shared" si="43"/>
        <v>0</v>
      </c>
      <c r="L69" s="1029"/>
      <c r="M69" s="834">
        <v>0.04</v>
      </c>
      <c r="N69" s="834">
        <v>0</v>
      </c>
      <c r="O69" s="834">
        <v>0</v>
      </c>
      <c r="P69" s="1029"/>
      <c r="Q69" s="834">
        <v>0.04</v>
      </c>
      <c r="R69" s="834">
        <v>0</v>
      </c>
      <c r="S69" s="834">
        <v>0</v>
      </c>
    </row>
    <row r="70" spans="1:19">
      <c r="A70" s="1058">
        <f t="shared" ref="A70:A113" si="49">A69+0.01</f>
        <v>9.0599999999999987</v>
      </c>
      <c r="B70" s="834" t="s">
        <v>954</v>
      </c>
      <c r="C70" s="1029">
        <f t="shared" si="42"/>
        <v>587679.18000000005</v>
      </c>
      <c r="D70" s="1029">
        <f t="shared" si="39"/>
        <v>910403.68</v>
      </c>
      <c r="E70" s="1029"/>
      <c r="F70" s="1029"/>
      <c r="G70" s="1029">
        <f t="shared" si="40"/>
        <v>749041</v>
      </c>
      <c r="H70" s="1029"/>
      <c r="I70" s="1029">
        <f t="shared" si="43"/>
        <v>749041.43</v>
      </c>
      <c r="J70" s="1029">
        <f t="shared" si="43"/>
        <v>0</v>
      </c>
      <c r="K70" s="1029">
        <f t="shared" si="43"/>
        <v>0</v>
      </c>
      <c r="L70" s="1029"/>
      <c r="M70" s="834">
        <v>587679.18000000005</v>
      </c>
      <c r="N70" s="834">
        <v>0</v>
      </c>
      <c r="O70" s="834">
        <v>0</v>
      </c>
      <c r="P70" s="1029"/>
      <c r="Q70" s="834">
        <v>910403.68</v>
      </c>
      <c r="R70" s="834">
        <v>0</v>
      </c>
      <c r="S70" s="834">
        <v>0</v>
      </c>
    </row>
    <row r="71" spans="1:19">
      <c r="A71" s="1058">
        <f t="shared" si="49"/>
        <v>9.0699999999999985</v>
      </c>
      <c r="B71" s="834" t="s">
        <v>955</v>
      </c>
      <c r="C71" s="1029">
        <f t="shared" si="42"/>
        <v>149594.18</v>
      </c>
      <c r="D71" s="1029">
        <f t="shared" si="39"/>
        <v>149594.18</v>
      </c>
      <c r="E71" s="1029"/>
      <c r="F71" s="1029"/>
      <c r="G71" s="1029">
        <f t="shared" si="40"/>
        <v>149594</v>
      </c>
      <c r="H71" s="1029"/>
      <c r="I71" s="1029">
        <f t="shared" si="43"/>
        <v>149594.18</v>
      </c>
      <c r="J71" s="1029">
        <f t="shared" si="43"/>
        <v>0</v>
      </c>
      <c r="K71" s="1029">
        <f t="shared" si="43"/>
        <v>0</v>
      </c>
      <c r="L71" s="1029"/>
      <c r="M71" s="834">
        <v>149594.18</v>
      </c>
      <c r="N71" s="834">
        <v>0</v>
      </c>
      <c r="O71" s="834">
        <v>0</v>
      </c>
      <c r="P71" s="1029"/>
      <c r="Q71" s="834">
        <v>149594.18</v>
      </c>
      <c r="R71" s="834">
        <v>0</v>
      </c>
      <c r="S71" s="834">
        <v>0</v>
      </c>
    </row>
    <row r="72" spans="1:19">
      <c r="A72" s="1058">
        <f t="shared" si="49"/>
        <v>9.0799999999999983</v>
      </c>
      <c r="B72" s="834" t="s">
        <v>1295</v>
      </c>
      <c r="C72" s="1029">
        <f t="shared" ref="C72:C73" si="50">SUM(M72:O72)</f>
        <v>0</v>
      </c>
      <c r="D72" s="1029">
        <f t="shared" ref="D72:D73" si="51">SUM(Q72:S72)</f>
        <v>233470.34</v>
      </c>
      <c r="E72" s="1029"/>
      <c r="F72" s="1029"/>
      <c r="G72" s="1029">
        <f t="shared" ref="G72:G73" si="52">ROUND(SUM(C72:F72)/2,0)</f>
        <v>116735</v>
      </c>
      <c r="H72" s="1029"/>
      <c r="I72" s="1029">
        <f t="shared" ref="I72:I73" si="53">(M72+Q72)/2</f>
        <v>0</v>
      </c>
      <c r="J72" s="1029">
        <f t="shared" ref="J72:J73" si="54">(N72+R72)/2</f>
        <v>0</v>
      </c>
      <c r="K72" s="1029">
        <f t="shared" ref="K72:K73" si="55">(O72+S72)/2</f>
        <v>116735.17</v>
      </c>
      <c r="L72" s="1029"/>
      <c r="M72" s="834">
        <v>0</v>
      </c>
      <c r="N72" s="834">
        <v>0</v>
      </c>
      <c r="O72" s="834">
        <v>0</v>
      </c>
      <c r="P72" s="1029"/>
      <c r="Q72" s="834">
        <v>0</v>
      </c>
      <c r="R72" s="834">
        <v>0</v>
      </c>
      <c r="S72" s="834">
        <v>233470.34</v>
      </c>
    </row>
    <row r="73" spans="1:19">
      <c r="A73" s="1058">
        <f t="shared" si="49"/>
        <v>9.0899999999999981</v>
      </c>
      <c r="B73" s="834" t="s">
        <v>1130</v>
      </c>
      <c r="C73" s="1029">
        <f t="shared" si="50"/>
        <v>1450.89</v>
      </c>
      <c r="D73" s="1029">
        <f t="shared" si="51"/>
        <v>0</v>
      </c>
      <c r="E73" s="1029"/>
      <c r="F73" s="1029"/>
      <c r="G73" s="1029">
        <f t="shared" si="52"/>
        <v>725</v>
      </c>
      <c r="H73" s="1029"/>
      <c r="I73" s="1029">
        <f t="shared" si="53"/>
        <v>0</v>
      </c>
      <c r="J73" s="1029">
        <f t="shared" si="54"/>
        <v>0</v>
      </c>
      <c r="K73" s="1029">
        <f t="shared" si="55"/>
        <v>725.44500000000005</v>
      </c>
      <c r="L73" s="1029"/>
      <c r="M73" s="834">
        <v>0</v>
      </c>
      <c r="N73" s="834">
        <v>0</v>
      </c>
      <c r="O73" s="834">
        <v>1450.89</v>
      </c>
      <c r="P73" s="1029"/>
      <c r="Q73" s="834">
        <v>0</v>
      </c>
      <c r="R73" s="834">
        <v>0</v>
      </c>
      <c r="S73" s="834">
        <v>0</v>
      </c>
    </row>
    <row r="74" spans="1:19">
      <c r="A74" s="1058">
        <f t="shared" si="49"/>
        <v>9.0999999999999979</v>
      </c>
      <c r="B74" s="834" t="s">
        <v>1128</v>
      </c>
      <c r="C74" s="1029">
        <f t="shared" si="42"/>
        <v>108361.87</v>
      </c>
      <c r="D74" s="1029">
        <f t="shared" si="39"/>
        <v>6678.8799999999992</v>
      </c>
      <c r="E74" s="1029"/>
      <c r="F74" s="1029"/>
      <c r="G74" s="1029">
        <f>ROUND(SUM(C74:F74)/2,0)</f>
        <v>57520</v>
      </c>
      <c r="H74" s="1029"/>
      <c r="I74" s="1029">
        <f t="shared" si="43"/>
        <v>8389.8050000000003</v>
      </c>
      <c r="J74" s="1029">
        <f t="shared" si="43"/>
        <v>1377.7350000000001</v>
      </c>
      <c r="K74" s="1029">
        <f t="shared" si="43"/>
        <v>47752.834999999999</v>
      </c>
      <c r="L74" s="1029"/>
      <c r="M74" s="834">
        <v>16779.61</v>
      </c>
      <c r="N74" s="834">
        <v>2185.7800000000002</v>
      </c>
      <c r="O74" s="834">
        <v>89396.479999999996</v>
      </c>
      <c r="P74" s="1029"/>
      <c r="Q74" s="834">
        <v>0</v>
      </c>
      <c r="R74" s="834">
        <v>569.69000000000005</v>
      </c>
      <c r="S74" s="834">
        <v>6109.19</v>
      </c>
    </row>
    <row r="75" spans="1:19">
      <c r="A75" s="1058">
        <f t="shared" si="49"/>
        <v>9.1099999999999977</v>
      </c>
      <c r="B75" s="834" t="s">
        <v>956</v>
      </c>
      <c r="C75" s="1029">
        <f t="shared" si="42"/>
        <v>5396.65</v>
      </c>
      <c r="D75" s="1029">
        <f t="shared" si="39"/>
        <v>5169.1099999999997</v>
      </c>
      <c r="E75" s="1029"/>
      <c r="F75" s="1029"/>
      <c r="G75" s="1029">
        <f t="shared" si="40"/>
        <v>5283</v>
      </c>
      <c r="H75" s="1029"/>
      <c r="I75" s="1029">
        <f t="shared" si="43"/>
        <v>5282.8799999999992</v>
      </c>
      <c r="J75" s="1029">
        <f t="shared" si="43"/>
        <v>0</v>
      </c>
      <c r="K75" s="1029">
        <f t="shared" si="43"/>
        <v>0</v>
      </c>
      <c r="L75" s="1029"/>
      <c r="M75" s="834">
        <v>5396.65</v>
      </c>
      <c r="N75" s="834">
        <v>0</v>
      </c>
      <c r="O75" s="834">
        <v>0</v>
      </c>
      <c r="P75" s="1029"/>
      <c r="Q75" s="834">
        <v>5169.1099999999997</v>
      </c>
      <c r="R75" s="834">
        <v>0</v>
      </c>
      <c r="S75" s="834">
        <v>0</v>
      </c>
    </row>
    <row r="76" spans="1:19">
      <c r="A76" s="1058">
        <f t="shared" si="49"/>
        <v>9.1199999999999974</v>
      </c>
      <c r="B76" s="834" t="s">
        <v>950</v>
      </c>
      <c r="C76" s="1029">
        <f t="shared" si="42"/>
        <v>0</v>
      </c>
      <c r="D76" s="1029">
        <f t="shared" si="39"/>
        <v>5066185.7300000004</v>
      </c>
      <c r="E76" s="1029"/>
      <c r="F76" s="1029"/>
      <c r="G76" s="1029">
        <f>ROUND(SUM(C76:F76)/2,0)</f>
        <v>2533093</v>
      </c>
      <c r="H76" s="1029"/>
      <c r="I76" s="1029">
        <f t="shared" si="43"/>
        <v>2533092.8650000002</v>
      </c>
      <c r="J76" s="1029">
        <f t="shared" si="43"/>
        <v>0</v>
      </c>
      <c r="K76" s="1029">
        <f t="shared" si="43"/>
        <v>0</v>
      </c>
      <c r="L76" s="1029"/>
      <c r="M76" s="834">
        <v>0</v>
      </c>
      <c r="N76" s="834">
        <v>0</v>
      </c>
      <c r="O76" s="834">
        <v>0</v>
      </c>
      <c r="P76" s="1029"/>
      <c r="Q76" s="834">
        <v>5066185.7300000004</v>
      </c>
      <c r="R76" s="834">
        <v>0</v>
      </c>
      <c r="S76" s="834">
        <v>0</v>
      </c>
    </row>
    <row r="77" spans="1:19">
      <c r="A77" s="1058">
        <f t="shared" si="49"/>
        <v>9.1299999999999972</v>
      </c>
      <c r="B77" s="834" t="s">
        <v>951</v>
      </c>
      <c r="C77" s="1029">
        <f t="shared" si="42"/>
        <v>0</v>
      </c>
      <c r="D77" s="1029">
        <f t="shared" si="39"/>
        <v>-1041876.15</v>
      </c>
      <c r="E77" s="1029"/>
      <c r="F77" s="1029"/>
      <c r="G77" s="1029">
        <f>ROUND(SUM(C77:F77)/2,0)</f>
        <v>-520938</v>
      </c>
      <c r="H77" s="1029"/>
      <c r="I77" s="1029">
        <f t="shared" si="43"/>
        <v>-520938.07500000001</v>
      </c>
      <c r="J77" s="1029">
        <f t="shared" si="43"/>
        <v>0</v>
      </c>
      <c r="K77" s="1029">
        <f t="shared" si="43"/>
        <v>0</v>
      </c>
      <c r="L77" s="1029"/>
      <c r="M77" s="834">
        <v>0</v>
      </c>
      <c r="N77" s="834">
        <v>0</v>
      </c>
      <c r="O77" s="834">
        <v>0</v>
      </c>
      <c r="P77" s="1029"/>
      <c r="Q77" s="834">
        <v>-1041876.15</v>
      </c>
      <c r="R77" s="834">
        <v>0</v>
      </c>
      <c r="S77" s="834">
        <v>0</v>
      </c>
    </row>
    <row r="78" spans="1:19">
      <c r="A78" s="1058">
        <f t="shared" si="49"/>
        <v>9.139999999999997</v>
      </c>
      <c r="B78" s="834" t="s">
        <v>957</v>
      </c>
      <c r="C78" s="1029">
        <f t="shared" si="42"/>
        <v>0</v>
      </c>
      <c r="D78" s="1029">
        <f t="shared" si="39"/>
        <v>0</v>
      </c>
      <c r="E78" s="1029"/>
      <c r="F78" s="1029"/>
      <c r="G78" s="1029">
        <f t="shared" si="40"/>
        <v>0</v>
      </c>
      <c r="H78" s="1029"/>
      <c r="I78" s="1029">
        <f t="shared" si="43"/>
        <v>0</v>
      </c>
      <c r="J78" s="1029">
        <f t="shared" si="43"/>
        <v>0</v>
      </c>
      <c r="K78" s="1029">
        <f t="shared" si="43"/>
        <v>0</v>
      </c>
      <c r="L78" s="1029"/>
      <c r="M78" s="834">
        <v>0</v>
      </c>
      <c r="N78" s="834">
        <v>0</v>
      </c>
      <c r="O78" s="834">
        <v>0</v>
      </c>
      <c r="P78" s="1029"/>
      <c r="Q78" s="834">
        <v>0</v>
      </c>
      <c r="R78" s="834">
        <v>0</v>
      </c>
      <c r="S78" s="834">
        <v>0</v>
      </c>
    </row>
    <row r="79" spans="1:19">
      <c r="A79" s="1058">
        <f t="shared" si="49"/>
        <v>9.1499999999999968</v>
      </c>
      <c r="B79" s="834" t="s">
        <v>958</v>
      </c>
      <c r="C79" s="1029">
        <f t="shared" si="42"/>
        <v>0</v>
      </c>
      <c r="D79" s="1029">
        <f t="shared" si="39"/>
        <v>0</v>
      </c>
      <c r="E79" s="1029"/>
      <c r="F79" s="1029"/>
      <c r="G79" s="1029">
        <f t="shared" si="40"/>
        <v>0</v>
      </c>
      <c r="H79" s="1029"/>
      <c r="I79" s="1029">
        <f t="shared" si="43"/>
        <v>0</v>
      </c>
      <c r="J79" s="1029">
        <f t="shared" si="43"/>
        <v>0</v>
      </c>
      <c r="K79" s="1029">
        <f t="shared" si="43"/>
        <v>0</v>
      </c>
      <c r="L79" s="1029"/>
      <c r="M79" s="834">
        <v>0</v>
      </c>
      <c r="N79" s="834">
        <v>0</v>
      </c>
      <c r="O79" s="834">
        <v>0</v>
      </c>
      <c r="P79" s="1029"/>
      <c r="Q79" s="834">
        <v>0</v>
      </c>
      <c r="R79" s="834">
        <v>0</v>
      </c>
      <c r="S79" s="834">
        <v>0</v>
      </c>
    </row>
    <row r="80" spans="1:19">
      <c r="A80" s="1058">
        <f t="shared" si="49"/>
        <v>9.1599999999999966</v>
      </c>
      <c r="B80" s="834" t="s">
        <v>959</v>
      </c>
      <c r="C80" s="1029">
        <f t="shared" si="42"/>
        <v>3082684.71</v>
      </c>
      <c r="D80" s="1029">
        <f t="shared" si="39"/>
        <v>2921145.15</v>
      </c>
      <c r="E80" s="1029"/>
      <c r="F80" s="1029"/>
      <c r="G80" s="1029">
        <f t="shared" si="40"/>
        <v>3001915</v>
      </c>
      <c r="H80" s="1029"/>
      <c r="I80" s="1029">
        <f t="shared" si="43"/>
        <v>3001914.9299999997</v>
      </c>
      <c r="J80" s="1029">
        <f t="shared" si="43"/>
        <v>0</v>
      </c>
      <c r="K80" s="1029">
        <f t="shared" si="43"/>
        <v>0</v>
      </c>
      <c r="L80" s="1029"/>
      <c r="M80" s="834">
        <v>3082684.71</v>
      </c>
      <c r="N80" s="834">
        <v>0</v>
      </c>
      <c r="O80" s="834">
        <v>0</v>
      </c>
      <c r="P80" s="1029"/>
      <c r="Q80" s="834">
        <v>2921145.15</v>
      </c>
      <c r="R80" s="834">
        <v>0</v>
      </c>
      <c r="S80" s="834">
        <v>0</v>
      </c>
    </row>
    <row r="81" spans="1:19">
      <c r="A81" s="1058">
        <f t="shared" si="49"/>
        <v>9.1699999999999964</v>
      </c>
      <c r="B81" s="834" t="s">
        <v>960</v>
      </c>
      <c r="C81" s="1033">
        <f t="shared" si="42"/>
        <v>0.01</v>
      </c>
      <c r="D81" s="1033">
        <f t="shared" si="39"/>
        <v>0.01</v>
      </c>
      <c r="E81" s="1033"/>
      <c r="F81" s="1033"/>
      <c r="G81" s="1033">
        <f t="shared" si="40"/>
        <v>0</v>
      </c>
      <c r="H81" s="1033"/>
      <c r="I81" s="1033">
        <f t="shared" si="43"/>
        <v>0</v>
      </c>
      <c r="J81" s="1033">
        <f t="shared" si="43"/>
        <v>0</v>
      </c>
      <c r="K81" s="1033">
        <f t="shared" si="43"/>
        <v>0.01</v>
      </c>
      <c r="L81" s="1033"/>
      <c r="M81" s="834">
        <v>0</v>
      </c>
      <c r="N81" s="834">
        <v>0</v>
      </c>
      <c r="O81" s="834">
        <v>0.01</v>
      </c>
      <c r="P81" s="1033"/>
      <c r="Q81" s="834">
        <v>0</v>
      </c>
      <c r="R81" s="834">
        <v>0</v>
      </c>
      <c r="S81" s="834">
        <v>0.01</v>
      </c>
    </row>
    <row r="82" spans="1:19">
      <c r="A82" s="1058">
        <f t="shared" si="49"/>
        <v>9.1799999999999962</v>
      </c>
      <c r="B82" s="834" t="s">
        <v>961</v>
      </c>
      <c r="C82" s="1029">
        <f t="shared" si="42"/>
        <v>563500.77</v>
      </c>
      <c r="D82" s="1029">
        <f t="shared" si="39"/>
        <v>671214.39</v>
      </c>
      <c r="E82" s="1029"/>
      <c r="F82" s="1029"/>
      <c r="G82" s="1029">
        <f t="shared" si="40"/>
        <v>617358</v>
      </c>
      <c r="H82" s="1029"/>
      <c r="I82" s="1029">
        <f t="shared" si="43"/>
        <v>0</v>
      </c>
      <c r="J82" s="1029">
        <f t="shared" si="43"/>
        <v>101382.54000000001</v>
      </c>
      <c r="K82" s="1029">
        <f t="shared" si="43"/>
        <v>515975.04000000004</v>
      </c>
      <c r="L82" s="1029"/>
      <c r="M82" s="834">
        <v>0</v>
      </c>
      <c r="N82" s="834">
        <v>92308.86</v>
      </c>
      <c r="O82" s="834">
        <v>471191.91</v>
      </c>
      <c r="P82" s="1029"/>
      <c r="Q82" s="834">
        <v>0</v>
      </c>
      <c r="R82" s="834">
        <v>110456.22</v>
      </c>
      <c r="S82" s="834">
        <v>560758.17000000004</v>
      </c>
    </row>
    <row r="83" spans="1:19">
      <c r="A83" s="1058">
        <f t="shared" si="49"/>
        <v>9.1899999999999959</v>
      </c>
      <c r="B83" s="834" t="s">
        <v>962</v>
      </c>
      <c r="C83" s="1029">
        <f t="shared" si="42"/>
        <v>0.02</v>
      </c>
      <c r="D83" s="1029">
        <f t="shared" si="39"/>
        <v>0.02</v>
      </c>
      <c r="E83" s="1029"/>
      <c r="F83" s="1029"/>
      <c r="G83" s="1029">
        <f t="shared" si="40"/>
        <v>0</v>
      </c>
      <c r="H83" s="1029"/>
      <c r="I83" s="1029">
        <f t="shared" si="43"/>
        <v>0</v>
      </c>
      <c r="J83" s="1029">
        <f t="shared" si="43"/>
        <v>0</v>
      </c>
      <c r="K83" s="1029">
        <f t="shared" si="43"/>
        <v>0.02</v>
      </c>
      <c r="L83" s="1029"/>
      <c r="M83" s="834">
        <v>0</v>
      </c>
      <c r="N83" s="834">
        <v>0</v>
      </c>
      <c r="O83" s="834">
        <v>0.02</v>
      </c>
      <c r="P83" s="1029"/>
      <c r="Q83" s="834">
        <v>0</v>
      </c>
      <c r="R83" s="834">
        <v>0</v>
      </c>
      <c r="S83" s="834">
        <v>0.02</v>
      </c>
    </row>
    <row r="84" spans="1:19">
      <c r="A84" s="1058">
        <f t="shared" si="49"/>
        <v>9.1999999999999957</v>
      </c>
      <c r="B84" s="834" t="s">
        <v>1296</v>
      </c>
      <c r="C84" s="1029">
        <f t="shared" si="42"/>
        <v>0</v>
      </c>
      <c r="D84" s="1029">
        <f t="shared" si="39"/>
        <v>69395.740000000005</v>
      </c>
      <c r="E84" s="1029"/>
      <c r="F84" s="1029"/>
      <c r="G84" s="1029">
        <f t="shared" si="40"/>
        <v>34698</v>
      </c>
      <c r="H84" s="1029"/>
      <c r="I84" s="1029">
        <f t="shared" si="43"/>
        <v>34697.870000000003</v>
      </c>
      <c r="J84" s="1029">
        <f t="shared" si="43"/>
        <v>0</v>
      </c>
      <c r="K84" s="1029">
        <f t="shared" si="43"/>
        <v>0</v>
      </c>
      <c r="L84" s="1029"/>
      <c r="M84" s="834">
        <v>0</v>
      </c>
      <c r="N84" s="834">
        <v>0</v>
      </c>
      <c r="O84" s="834">
        <v>0</v>
      </c>
      <c r="P84" s="1029"/>
      <c r="Q84" s="834">
        <v>69395.740000000005</v>
      </c>
      <c r="R84" s="834">
        <v>0</v>
      </c>
      <c r="S84" s="834">
        <v>0</v>
      </c>
    </row>
    <row r="85" spans="1:19">
      <c r="A85" s="1058">
        <f t="shared" si="49"/>
        <v>9.2099999999999955</v>
      </c>
      <c r="B85" s="834" t="s">
        <v>963</v>
      </c>
      <c r="C85" s="1029">
        <f t="shared" si="42"/>
        <v>-0.01</v>
      </c>
      <c r="D85" s="1029">
        <f t="shared" si="39"/>
        <v>-0.01</v>
      </c>
      <c r="E85" s="1029"/>
      <c r="F85" s="1029"/>
      <c r="G85" s="1029">
        <f t="shared" si="40"/>
        <v>0</v>
      </c>
      <c r="H85" s="1029"/>
      <c r="I85" s="1029">
        <f t="shared" si="43"/>
        <v>0</v>
      </c>
      <c r="J85" s="1029">
        <f t="shared" si="43"/>
        <v>0</v>
      </c>
      <c r="K85" s="1029">
        <f t="shared" si="43"/>
        <v>-0.01</v>
      </c>
      <c r="L85" s="1029"/>
      <c r="M85" s="834">
        <v>0</v>
      </c>
      <c r="N85" s="834">
        <v>0</v>
      </c>
      <c r="O85" s="834">
        <v>-0.01</v>
      </c>
      <c r="P85" s="1029"/>
      <c r="Q85" s="834">
        <v>0</v>
      </c>
      <c r="R85" s="834">
        <v>0</v>
      </c>
      <c r="S85" s="834">
        <v>-0.01</v>
      </c>
    </row>
    <row r="86" spans="1:19">
      <c r="A86" s="1058">
        <f t="shared" si="49"/>
        <v>9.2199999999999953</v>
      </c>
      <c r="B86" s="834" t="s">
        <v>964</v>
      </c>
      <c r="C86" s="1029">
        <f t="shared" si="42"/>
        <v>0</v>
      </c>
      <c r="D86" s="1029">
        <f t="shared" si="39"/>
        <v>0</v>
      </c>
      <c r="E86" s="1029"/>
      <c r="F86" s="1029"/>
      <c r="G86" s="1029">
        <f t="shared" si="40"/>
        <v>0</v>
      </c>
      <c r="H86" s="1029"/>
      <c r="I86" s="1029">
        <f t="shared" si="43"/>
        <v>0</v>
      </c>
      <c r="J86" s="1029">
        <f t="shared" si="43"/>
        <v>0</v>
      </c>
      <c r="K86" s="1029">
        <f t="shared" si="43"/>
        <v>0</v>
      </c>
      <c r="L86" s="1029"/>
      <c r="M86" s="834">
        <v>0</v>
      </c>
      <c r="N86" s="834">
        <v>0</v>
      </c>
      <c r="O86" s="834">
        <v>0</v>
      </c>
      <c r="P86" s="1029"/>
      <c r="Q86" s="834">
        <v>0</v>
      </c>
      <c r="R86" s="834">
        <v>0</v>
      </c>
      <c r="S86" s="834">
        <v>0</v>
      </c>
    </row>
    <row r="87" spans="1:19">
      <c r="A87" s="1058">
        <f t="shared" si="49"/>
        <v>9.2299999999999951</v>
      </c>
      <c r="B87" s="834" t="s">
        <v>965</v>
      </c>
      <c r="C87" s="1029">
        <f t="shared" si="42"/>
        <v>0</v>
      </c>
      <c r="D87" s="1029">
        <f t="shared" si="39"/>
        <v>0</v>
      </c>
      <c r="E87" s="1029"/>
      <c r="F87" s="1029"/>
      <c r="G87" s="1029">
        <f t="shared" si="40"/>
        <v>0</v>
      </c>
      <c r="H87" s="1029"/>
      <c r="I87" s="1029">
        <f t="shared" si="43"/>
        <v>0</v>
      </c>
      <c r="J87" s="1029">
        <f t="shared" si="43"/>
        <v>0</v>
      </c>
      <c r="K87" s="1029">
        <f t="shared" si="43"/>
        <v>0</v>
      </c>
      <c r="L87" s="1029"/>
      <c r="M87" s="834">
        <v>0</v>
      </c>
      <c r="N87" s="834">
        <v>0</v>
      </c>
      <c r="O87" s="834">
        <v>0</v>
      </c>
      <c r="P87" s="1029"/>
      <c r="Q87" s="834">
        <v>0</v>
      </c>
      <c r="R87" s="834">
        <v>0</v>
      </c>
      <c r="S87" s="834">
        <v>0</v>
      </c>
    </row>
    <row r="88" spans="1:19">
      <c r="A88" s="1058">
        <f t="shared" si="49"/>
        <v>9.2399999999999949</v>
      </c>
      <c r="B88" s="834" t="s">
        <v>966</v>
      </c>
      <c r="C88" s="1029">
        <f t="shared" si="42"/>
        <v>0</v>
      </c>
      <c r="D88" s="1029">
        <f t="shared" si="39"/>
        <v>0</v>
      </c>
      <c r="E88" s="1029"/>
      <c r="F88" s="1029"/>
      <c r="G88" s="1029">
        <f t="shared" si="40"/>
        <v>0</v>
      </c>
      <c r="H88" s="1029"/>
      <c r="I88" s="1029">
        <f t="shared" si="43"/>
        <v>0</v>
      </c>
      <c r="J88" s="1029">
        <f t="shared" si="43"/>
        <v>0</v>
      </c>
      <c r="K88" s="1029">
        <f t="shared" si="43"/>
        <v>0</v>
      </c>
      <c r="L88" s="1029"/>
      <c r="M88" s="834">
        <v>0</v>
      </c>
      <c r="N88" s="834">
        <v>0</v>
      </c>
      <c r="O88" s="834">
        <v>0</v>
      </c>
      <c r="P88" s="1029"/>
      <c r="Q88" s="834">
        <v>0</v>
      </c>
      <c r="R88" s="834">
        <v>0</v>
      </c>
      <c r="S88" s="834">
        <v>0</v>
      </c>
    </row>
    <row r="89" spans="1:19">
      <c r="A89" s="1058">
        <f t="shared" si="49"/>
        <v>9.2499999999999947</v>
      </c>
      <c r="B89" s="834" t="s">
        <v>967</v>
      </c>
      <c r="C89" s="1029">
        <f t="shared" si="42"/>
        <v>0</v>
      </c>
      <c r="D89" s="1029">
        <f t="shared" si="39"/>
        <v>0</v>
      </c>
      <c r="E89" s="1029"/>
      <c r="F89" s="1029"/>
      <c r="G89" s="1029">
        <f t="shared" si="40"/>
        <v>0</v>
      </c>
      <c r="H89" s="1029"/>
      <c r="I89" s="1029">
        <f t="shared" si="43"/>
        <v>0</v>
      </c>
      <c r="J89" s="1029">
        <f t="shared" si="43"/>
        <v>0</v>
      </c>
      <c r="K89" s="1029">
        <f t="shared" si="43"/>
        <v>0</v>
      </c>
      <c r="L89" s="1029"/>
      <c r="M89" s="834">
        <v>0</v>
      </c>
      <c r="N89" s="834">
        <v>0</v>
      </c>
      <c r="O89" s="834">
        <v>0</v>
      </c>
      <c r="P89" s="1029"/>
      <c r="Q89" s="834">
        <v>0</v>
      </c>
      <c r="R89" s="834">
        <v>0</v>
      </c>
      <c r="S89" s="834">
        <v>0</v>
      </c>
    </row>
    <row r="90" spans="1:19">
      <c r="A90" s="1058">
        <f t="shared" si="49"/>
        <v>9.2599999999999945</v>
      </c>
      <c r="B90" s="834" t="s">
        <v>968</v>
      </c>
      <c r="C90" s="1029">
        <f t="shared" si="42"/>
        <v>0.01</v>
      </c>
      <c r="D90" s="1029">
        <f t="shared" si="39"/>
        <v>0.01</v>
      </c>
      <c r="E90" s="1029"/>
      <c r="F90" s="1029"/>
      <c r="G90" s="1029">
        <f t="shared" si="40"/>
        <v>0</v>
      </c>
      <c r="H90" s="1029"/>
      <c r="I90" s="1029">
        <f t="shared" si="43"/>
        <v>0</v>
      </c>
      <c r="J90" s="1029">
        <f t="shared" si="43"/>
        <v>0</v>
      </c>
      <c r="K90" s="1029">
        <f t="shared" si="43"/>
        <v>0.01</v>
      </c>
      <c r="L90" s="1029"/>
      <c r="M90" s="834">
        <v>0</v>
      </c>
      <c r="N90" s="834">
        <v>0</v>
      </c>
      <c r="O90" s="834">
        <v>0.01</v>
      </c>
      <c r="P90" s="1029"/>
      <c r="Q90" s="834">
        <v>0</v>
      </c>
      <c r="R90" s="834">
        <v>0</v>
      </c>
      <c r="S90" s="834">
        <v>0.01</v>
      </c>
    </row>
    <row r="91" spans="1:19">
      <c r="A91" s="1058">
        <f t="shared" si="49"/>
        <v>9.2699999999999942</v>
      </c>
      <c r="B91" s="834" t="s">
        <v>969</v>
      </c>
      <c r="C91" s="1029">
        <f t="shared" si="42"/>
        <v>0</v>
      </c>
      <c r="D91" s="1029">
        <f t="shared" si="39"/>
        <v>0</v>
      </c>
      <c r="E91" s="1029"/>
      <c r="F91" s="1029"/>
      <c r="G91" s="1029">
        <f>ROUND(SUM(C91:F91)/2,0)</f>
        <v>0</v>
      </c>
      <c r="H91" s="1029"/>
      <c r="I91" s="1029">
        <f t="shared" si="43"/>
        <v>0</v>
      </c>
      <c r="J91" s="1029">
        <f t="shared" si="43"/>
        <v>0</v>
      </c>
      <c r="K91" s="1029">
        <f t="shared" si="43"/>
        <v>0</v>
      </c>
      <c r="L91" s="1029"/>
      <c r="M91" s="834">
        <v>0</v>
      </c>
      <c r="N91" s="834">
        <v>0</v>
      </c>
      <c r="O91" s="834">
        <v>0</v>
      </c>
      <c r="P91" s="1029"/>
      <c r="Q91" s="834">
        <v>0</v>
      </c>
      <c r="R91" s="834">
        <v>0</v>
      </c>
      <c r="S91" s="834">
        <v>0</v>
      </c>
    </row>
    <row r="92" spans="1:19">
      <c r="A92" s="1058">
        <f t="shared" si="49"/>
        <v>9.279999999999994</v>
      </c>
      <c r="B92" s="834" t="s">
        <v>970</v>
      </c>
      <c r="C92" s="1029">
        <f t="shared" si="42"/>
        <v>0</v>
      </c>
      <c r="D92" s="1029">
        <f t="shared" si="39"/>
        <v>0</v>
      </c>
      <c r="E92" s="1029"/>
      <c r="F92" s="1029"/>
      <c r="G92" s="1029">
        <f t="shared" si="40"/>
        <v>0</v>
      </c>
      <c r="H92" s="1029"/>
      <c r="I92" s="1029">
        <f t="shared" si="43"/>
        <v>0</v>
      </c>
      <c r="J92" s="1029">
        <f t="shared" si="43"/>
        <v>0</v>
      </c>
      <c r="K92" s="1029">
        <f t="shared" si="43"/>
        <v>0</v>
      </c>
      <c r="L92" s="1029"/>
      <c r="M92" s="834">
        <v>0</v>
      </c>
      <c r="N92" s="834">
        <v>0</v>
      </c>
      <c r="O92" s="834">
        <v>0</v>
      </c>
      <c r="P92" s="1029"/>
      <c r="Q92" s="834">
        <v>0</v>
      </c>
      <c r="R92" s="834">
        <v>0</v>
      </c>
      <c r="S92" s="834">
        <v>0</v>
      </c>
    </row>
    <row r="93" spans="1:19">
      <c r="A93" s="1058">
        <f t="shared" si="49"/>
        <v>9.2899999999999938</v>
      </c>
      <c r="B93" s="834" t="s">
        <v>1294</v>
      </c>
      <c r="C93" s="1029">
        <f t="shared" si="42"/>
        <v>0</v>
      </c>
      <c r="D93" s="1029">
        <f t="shared" si="39"/>
        <v>2152.7199999999998</v>
      </c>
      <c r="E93" s="1029"/>
      <c r="F93" s="1029"/>
      <c r="G93" s="1029">
        <f t="shared" si="40"/>
        <v>1076</v>
      </c>
      <c r="H93" s="1029"/>
      <c r="I93" s="1029">
        <f t="shared" si="43"/>
        <v>0</v>
      </c>
      <c r="J93" s="1029">
        <f t="shared" si="43"/>
        <v>0</v>
      </c>
      <c r="K93" s="1029">
        <f t="shared" si="43"/>
        <v>1076.3599999999999</v>
      </c>
      <c r="L93" s="1029"/>
      <c r="M93" s="834">
        <v>0</v>
      </c>
      <c r="N93" s="834">
        <v>0</v>
      </c>
      <c r="O93" s="834">
        <v>0</v>
      </c>
      <c r="P93" s="1029"/>
      <c r="Q93" s="834">
        <v>0</v>
      </c>
      <c r="R93" s="834">
        <v>0</v>
      </c>
      <c r="S93" s="834">
        <v>2152.7199999999998</v>
      </c>
    </row>
    <row r="94" spans="1:19">
      <c r="A94" s="1058">
        <f t="shared" si="49"/>
        <v>9.2999999999999936</v>
      </c>
      <c r="B94" s="834" t="s">
        <v>1172</v>
      </c>
      <c r="C94" s="1029">
        <f t="shared" si="42"/>
        <v>5402.05</v>
      </c>
      <c r="D94" s="1029">
        <f t="shared" si="39"/>
        <v>20326.75</v>
      </c>
      <c r="E94" s="1029"/>
      <c r="F94" s="1029"/>
      <c r="G94" s="1029">
        <f>ROUND(SUM(C94:F94)/2,0)</f>
        <v>12864</v>
      </c>
      <c r="H94" s="1029"/>
      <c r="I94" s="1029">
        <f t="shared" si="43"/>
        <v>0</v>
      </c>
      <c r="J94" s="1029">
        <f t="shared" si="43"/>
        <v>12864.390000000001</v>
      </c>
      <c r="K94" s="1029">
        <f t="shared" si="43"/>
        <v>0.01</v>
      </c>
      <c r="L94" s="1029"/>
      <c r="M94" s="834">
        <v>0</v>
      </c>
      <c r="N94" s="834">
        <v>5402.04</v>
      </c>
      <c r="O94" s="834">
        <v>0.01</v>
      </c>
      <c r="P94" s="1029"/>
      <c r="Q94" s="834">
        <v>0</v>
      </c>
      <c r="R94" s="834">
        <v>20326.740000000002</v>
      </c>
      <c r="S94" s="834">
        <v>0.01</v>
      </c>
    </row>
    <row r="95" spans="1:19">
      <c r="A95" s="1058">
        <f t="shared" si="49"/>
        <v>9.3099999999999934</v>
      </c>
      <c r="B95" s="834" t="s">
        <v>1171</v>
      </c>
      <c r="C95" s="1029">
        <f t="shared" si="42"/>
        <v>40619.22</v>
      </c>
      <c r="D95" s="1029">
        <f t="shared" si="39"/>
        <v>74087.55</v>
      </c>
      <c r="E95" s="1029"/>
      <c r="F95" s="1029"/>
      <c r="G95" s="1029">
        <f t="shared" si="40"/>
        <v>57353</v>
      </c>
      <c r="H95" s="1029"/>
      <c r="I95" s="1029">
        <f t="shared" si="43"/>
        <v>0</v>
      </c>
      <c r="J95" s="1029">
        <f t="shared" si="43"/>
        <v>0</v>
      </c>
      <c r="K95" s="1029">
        <f t="shared" si="43"/>
        <v>57353.385000000002</v>
      </c>
      <c r="L95" s="1029"/>
      <c r="M95" s="834">
        <v>0</v>
      </c>
      <c r="N95" s="834">
        <v>0</v>
      </c>
      <c r="O95" s="834">
        <v>40619.22</v>
      </c>
      <c r="P95" s="1029"/>
      <c r="Q95" s="834">
        <v>0</v>
      </c>
      <c r="R95" s="834">
        <v>0</v>
      </c>
      <c r="S95" s="834">
        <v>74087.55</v>
      </c>
    </row>
    <row r="96" spans="1:19">
      <c r="A96" s="1058">
        <f t="shared" si="49"/>
        <v>9.3199999999999932</v>
      </c>
      <c r="B96" s="834" t="s">
        <v>971</v>
      </c>
      <c r="C96" s="1029">
        <f t="shared" si="42"/>
        <v>16156.48</v>
      </c>
      <c r="D96" s="1029">
        <f t="shared" si="39"/>
        <v>44933.83</v>
      </c>
      <c r="E96" s="1029"/>
      <c r="F96" s="1029"/>
      <c r="G96" s="1029">
        <f t="shared" si="40"/>
        <v>30545</v>
      </c>
      <c r="H96" s="1029"/>
      <c r="I96" s="1029">
        <f t="shared" si="43"/>
        <v>45943.8</v>
      </c>
      <c r="J96" s="1029">
        <f t="shared" si="43"/>
        <v>746.34</v>
      </c>
      <c r="K96" s="1029">
        <f t="shared" si="43"/>
        <v>-16144.985000000001</v>
      </c>
      <c r="L96" s="1029"/>
      <c r="M96" s="834">
        <v>45943.8</v>
      </c>
      <c r="N96" s="834">
        <v>746.34</v>
      </c>
      <c r="O96" s="834">
        <v>-30533.66</v>
      </c>
      <c r="P96" s="1029"/>
      <c r="Q96" s="834">
        <v>45943.8</v>
      </c>
      <c r="R96" s="834">
        <v>746.34</v>
      </c>
      <c r="S96" s="834">
        <v>-1756.31</v>
      </c>
    </row>
    <row r="97" spans="1:19">
      <c r="A97" s="1058">
        <f t="shared" si="49"/>
        <v>9.329999999999993</v>
      </c>
      <c r="B97" s="834" t="s">
        <v>972</v>
      </c>
      <c r="C97" s="1029">
        <f t="shared" si="42"/>
        <v>571683.72</v>
      </c>
      <c r="D97" s="1029">
        <f t="shared" si="39"/>
        <v>406341.69</v>
      </c>
      <c r="E97" s="1029"/>
      <c r="F97" s="1029"/>
      <c r="G97" s="1029">
        <f t="shared" si="40"/>
        <v>489013</v>
      </c>
      <c r="H97" s="1029"/>
      <c r="I97" s="1029">
        <f t="shared" si="43"/>
        <v>4541.67</v>
      </c>
      <c r="J97" s="1029">
        <f t="shared" si="43"/>
        <v>137138.54499999998</v>
      </c>
      <c r="K97" s="1029">
        <f t="shared" si="43"/>
        <v>347332.49</v>
      </c>
      <c r="L97" s="1029"/>
      <c r="M97" s="834">
        <v>4541.67</v>
      </c>
      <c r="N97" s="834">
        <v>159423.85</v>
      </c>
      <c r="O97" s="834">
        <v>407718.19999999995</v>
      </c>
      <c r="P97" s="1029"/>
      <c r="Q97" s="834">
        <v>4541.67</v>
      </c>
      <c r="R97" s="834">
        <v>114853.23999999999</v>
      </c>
      <c r="S97" s="834">
        <v>286946.78000000003</v>
      </c>
    </row>
    <row r="98" spans="1:19">
      <c r="A98" s="1058">
        <f t="shared" si="49"/>
        <v>9.3399999999999928</v>
      </c>
      <c r="B98" s="834" t="s">
        <v>973</v>
      </c>
      <c r="C98" s="1029">
        <f t="shared" si="42"/>
        <v>0</v>
      </c>
      <c r="D98" s="1029">
        <f t="shared" si="39"/>
        <v>0</v>
      </c>
      <c r="E98" s="1029"/>
      <c r="F98" s="1029"/>
      <c r="G98" s="1029">
        <f t="shared" si="40"/>
        <v>0</v>
      </c>
      <c r="H98" s="1029"/>
      <c r="I98" s="1029">
        <f t="shared" si="43"/>
        <v>0</v>
      </c>
      <c r="J98" s="1029">
        <f t="shared" si="43"/>
        <v>0</v>
      </c>
      <c r="K98" s="1029">
        <f t="shared" si="43"/>
        <v>0</v>
      </c>
      <c r="L98" s="1029"/>
      <c r="M98" s="834">
        <v>0</v>
      </c>
      <c r="N98" s="834">
        <v>0</v>
      </c>
      <c r="O98" s="834">
        <v>0</v>
      </c>
      <c r="P98" s="1029"/>
      <c r="Q98" s="834">
        <v>0</v>
      </c>
      <c r="R98" s="834">
        <v>0</v>
      </c>
      <c r="S98" s="834">
        <v>0</v>
      </c>
    </row>
    <row r="99" spans="1:19">
      <c r="A99" s="1058">
        <f t="shared" si="49"/>
        <v>9.3499999999999925</v>
      </c>
      <c r="B99" s="834" t="s">
        <v>974</v>
      </c>
      <c r="C99" s="1029">
        <f t="shared" si="42"/>
        <v>-0.15</v>
      </c>
      <c r="D99" s="1029">
        <f t="shared" si="39"/>
        <v>-0.15</v>
      </c>
      <c r="E99" s="1029"/>
      <c r="F99" s="1029"/>
      <c r="G99" s="1029">
        <f t="shared" si="40"/>
        <v>0</v>
      </c>
      <c r="H99" s="1029"/>
      <c r="I99" s="1029">
        <f t="shared" si="43"/>
        <v>0</v>
      </c>
      <c r="J99" s="1029">
        <f t="shared" si="43"/>
        <v>0</v>
      </c>
      <c r="K99" s="1029">
        <f t="shared" si="43"/>
        <v>-0.15</v>
      </c>
      <c r="L99" s="1029"/>
      <c r="M99" s="834">
        <v>0</v>
      </c>
      <c r="N99" s="834">
        <v>0</v>
      </c>
      <c r="O99" s="834">
        <v>-0.15</v>
      </c>
      <c r="P99" s="1029"/>
      <c r="Q99" s="834">
        <v>0</v>
      </c>
      <c r="R99" s="834">
        <v>0</v>
      </c>
      <c r="S99" s="834">
        <v>-0.15</v>
      </c>
    </row>
    <row r="100" spans="1:19">
      <c r="A100" s="1058">
        <f t="shared" si="49"/>
        <v>9.3599999999999923</v>
      </c>
      <c r="B100" s="834" t="s">
        <v>975</v>
      </c>
      <c r="C100" s="1029">
        <f t="shared" si="42"/>
        <v>24404.7</v>
      </c>
      <c r="D100" s="1029">
        <f t="shared" si="39"/>
        <v>16269.62</v>
      </c>
      <c r="E100" s="1029"/>
      <c r="F100" s="1029"/>
      <c r="G100" s="1029">
        <f t="shared" si="40"/>
        <v>20337</v>
      </c>
      <c r="H100" s="1029"/>
      <c r="I100" s="1029">
        <f t="shared" si="43"/>
        <v>0</v>
      </c>
      <c r="J100" s="1029">
        <f t="shared" si="43"/>
        <v>1118.915</v>
      </c>
      <c r="K100" s="1029">
        <f t="shared" si="43"/>
        <v>19218.244999999999</v>
      </c>
      <c r="L100" s="1029"/>
      <c r="M100" s="834">
        <v>0</v>
      </c>
      <c r="N100" s="834">
        <v>1342.81</v>
      </c>
      <c r="O100" s="834">
        <v>23061.89</v>
      </c>
      <c r="P100" s="1029"/>
      <c r="Q100" s="834">
        <v>0</v>
      </c>
      <c r="R100" s="834">
        <v>895.02</v>
      </c>
      <c r="S100" s="834">
        <v>15374.6</v>
      </c>
    </row>
    <row r="101" spans="1:19">
      <c r="A101" s="1058">
        <f t="shared" si="49"/>
        <v>9.3699999999999921</v>
      </c>
      <c r="B101" s="834" t="s">
        <v>1170</v>
      </c>
      <c r="C101" s="1029">
        <f t="shared" ref="C101:C102" si="56">SUM(M101:O101)</f>
        <v>-15222.141</v>
      </c>
      <c r="D101" s="1029">
        <f t="shared" ref="D101:D102" si="57">SUM(Q101:S101)</f>
        <v>-15222.141</v>
      </c>
      <c r="E101" s="1029"/>
      <c r="F101" s="1029"/>
      <c r="G101" s="1029">
        <f t="shared" ref="G101:G102" si="58">ROUND(SUM(C101:F101)/2,0)</f>
        <v>-15222</v>
      </c>
      <c r="H101" s="1029"/>
      <c r="I101" s="1029">
        <f t="shared" ref="I101:I102" si="59">(M101+Q101)/2</f>
        <v>-5523.63</v>
      </c>
      <c r="J101" s="1029">
        <f t="shared" ref="J101:J102" si="60">(N101+R101)/2</f>
        <v>-1079.691</v>
      </c>
      <c r="K101" s="1029">
        <f t="shared" ref="K101:K102" si="61">(O101+S101)/2</f>
        <v>-8618.82</v>
      </c>
      <c r="L101" s="1029"/>
      <c r="M101" s="834">
        <v>-5523.63</v>
      </c>
      <c r="N101" s="834">
        <v>-1079.691</v>
      </c>
      <c r="O101" s="834">
        <v>-8618.82</v>
      </c>
      <c r="P101" s="1029"/>
      <c r="Q101" s="834">
        <v>-5523.63</v>
      </c>
      <c r="R101" s="834">
        <v>-1079.691</v>
      </c>
      <c r="S101" s="834">
        <v>-8618.82</v>
      </c>
    </row>
    <row r="102" spans="1:19">
      <c r="A102" s="1058">
        <f t="shared" si="49"/>
        <v>9.3799999999999919</v>
      </c>
      <c r="B102" s="834" t="s">
        <v>976</v>
      </c>
      <c r="C102" s="1029">
        <f t="shared" si="56"/>
        <v>89614.080000000002</v>
      </c>
      <c r="D102" s="1029">
        <f t="shared" si="57"/>
        <v>104545.08</v>
      </c>
      <c r="E102" s="1029"/>
      <c r="F102" s="1029"/>
      <c r="G102" s="1029">
        <f t="shared" si="58"/>
        <v>97080</v>
      </c>
      <c r="H102" s="1029"/>
      <c r="I102" s="1029">
        <f t="shared" si="59"/>
        <v>0</v>
      </c>
      <c r="J102" s="1029">
        <f t="shared" si="60"/>
        <v>0</v>
      </c>
      <c r="K102" s="1029">
        <f t="shared" si="61"/>
        <v>97079.58</v>
      </c>
      <c r="L102" s="1029"/>
      <c r="M102" s="834">
        <v>0</v>
      </c>
      <c r="N102" s="834">
        <v>0</v>
      </c>
      <c r="O102" s="834">
        <v>89614.080000000002</v>
      </c>
      <c r="P102" s="1029"/>
      <c r="Q102" s="834">
        <v>0</v>
      </c>
      <c r="R102" s="834">
        <v>0</v>
      </c>
      <c r="S102" s="834">
        <v>104545.08</v>
      </c>
    </row>
    <row r="103" spans="1:19">
      <c r="A103" s="1058">
        <f t="shared" si="49"/>
        <v>9.3899999999999917</v>
      </c>
      <c r="B103" s="834" t="s">
        <v>1010</v>
      </c>
      <c r="C103" s="1029">
        <f t="shared" ref="C103" si="62">SUM(M103:O103)</f>
        <v>0</v>
      </c>
      <c r="D103" s="1029">
        <f t="shared" ref="D103" si="63">SUM(Q103:S103)</f>
        <v>-102008.55</v>
      </c>
      <c r="E103" s="1029"/>
      <c r="F103" s="1029"/>
      <c r="G103" s="1029">
        <f t="shared" ref="G103" si="64">ROUND(SUM(C103:F103)/2,0)</f>
        <v>-51004</v>
      </c>
      <c r="H103" s="1029"/>
      <c r="I103" s="1029">
        <f t="shared" ref="I103" si="65">(M103+Q103)/2</f>
        <v>-51004.275000000001</v>
      </c>
      <c r="J103" s="1029">
        <f t="shared" ref="J103" si="66">(N103+R103)/2</f>
        <v>0</v>
      </c>
      <c r="K103" s="1029">
        <f t="shared" ref="K103" si="67">(O103+S103)/2</f>
        <v>0</v>
      </c>
      <c r="L103" s="1029"/>
      <c r="M103" s="834">
        <v>0</v>
      </c>
      <c r="N103" s="834">
        <v>0</v>
      </c>
      <c r="O103" s="834">
        <v>0</v>
      </c>
      <c r="P103" s="1029"/>
      <c r="Q103" s="834">
        <v>-102008.55</v>
      </c>
      <c r="R103" s="834">
        <v>0</v>
      </c>
      <c r="S103" s="834">
        <v>0</v>
      </c>
    </row>
    <row r="104" spans="1:19">
      <c r="A104" s="1058">
        <f t="shared" si="49"/>
        <v>9.3999999999999915</v>
      </c>
      <c r="B104" s="834" t="s">
        <v>1173</v>
      </c>
      <c r="C104" s="1029">
        <f t="shared" ref="C104" si="68">SUM(M104:O104)</f>
        <v>456598</v>
      </c>
      <c r="D104" s="1029">
        <f t="shared" ref="D104" si="69">SUM(Q104:S104)</f>
        <v>456598</v>
      </c>
      <c r="E104" s="1029"/>
      <c r="F104" s="1029"/>
      <c r="G104" s="1029">
        <f t="shared" ref="G104" si="70">ROUND(SUM(C104:F104)/2,0)</f>
        <v>456598</v>
      </c>
      <c r="H104" s="1029"/>
      <c r="I104" s="1029">
        <f t="shared" ref="I104" si="71">(M104+Q104)/2</f>
        <v>366459</v>
      </c>
      <c r="J104" s="1029">
        <f t="shared" ref="J104" si="72">(N104+R104)/2</f>
        <v>37238</v>
      </c>
      <c r="K104" s="1029">
        <f t="shared" ref="K104" si="73">(O104+S104)/2</f>
        <v>52901</v>
      </c>
      <c r="L104" s="1029"/>
      <c r="M104" s="834">
        <v>366459</v>
      </c>
      <c r="N104" s="834">
        <v>37238</v>
      </c>
      <c r="O104" s="834">
        <v>52901</v>
      </c>
      <c r="P104" s="1029"/>
      <c r="Q104" s="834">
        <v>366459</v>
      </c>
      <c r="R104" s="834">
        <v>37238</v>
      </c>
      <c r="S104" s="834">
        <v>52901</v>
      </c>
    </row>
    <row r="105" spans="1:19">
      <c r="A105" s="1058">
        <f t="shared" si="49"/>
        <v>9.4099999999999913</v>
      </c>
      <c r="B105" s="834" t="s">
        <v>947</v>
      </c>
      <c r="C105" s="1029">
        <f t="shared" si="42"/>
        <v>-2285951.4299999997</v>
      </c>
      <c r="D105" s="1029">
        <f t="shared" si="39"/>
        <v>-2132086.4299999997</v>
      </c>
      <c r="E105" s="1029"/>
      <c r="F105" s="1029"/>
      <c r="G105" s="1029">
        <f t="shared" si="40"/>
        <v>-2209019</v>
      </c>
      <c r="H105" s="1029"/>
      <c r="I105" s="1029">
        <f t="shared" si="43"/>
        <v>-1330120.3999999999</v>
      </c>
      <c r="J105" s="1029">
        <f t="shared" si="43"/>
        <v>-846256.53</v>
      </c>
      <c r="K105" s="1029">
        <f t="shared" si="43"/>
        <v>-32642</v>
      </c>
      <c r="L105" s="1029"/>
      <c r="M105" s="834">
        <v>-1330120.3999999999</v>
      </c>
      <c r="N105" s="834">
        <v>-923189.03</v>
      </c>
      <c r="O105" s="834">
        <v>-32642</v>
      </c>
      <c r="P105" s="1029"/>
      <c r="Q105" s="834">
        <v>-1330120.3999999999</v>
      </c>
      <c r="R105" s="834">
        <v>-769324.03</v>
      </c>
      <c r="S105" s="834">
        <v>-32642</v>
      </c>
    </row>
    <row r="106" spans="1:19">
      <c r="A106" s="1058">
        <f t="shared" si="49"/>
        <v>9.419999999999991</v>
      </c>
      <c r="B106" s="1408" t="s">
        <v>1167</v>
      </c>
      <c r="C106" s="1408">
        <f t="shared" ref="C106" si="74">SUM(M106:O106)</f>
        <v>0</v>
      </c>
      <c r="D106" s="1408">
        <f t="shared" ref="D106" si="75">SUM(Q106:S106)</f>
        <v>0</v>
      </c>
      <c r="E106" s="1409"/>
      <c r="F106" s="1409"/>
      <c r="G106" s="1029">
        <f>ROUND(SUM(C106:F106)/2,0)</f>
        <v>0</v>
      </c>
      <c r="H106" s="1029"/>
      <c r="I106" s="1029">
        <f t="shared" si="43"/>
        <v>0</v>
      </c>
      <c r="J106" s="1029">
        <f t="shared" si="43"/>
        <v>0</v>
      </c>
      <c r="K106" s="1029">
        <f t="shared" si="43"/>
        <v>0</v>
      </c>
      <c r="L106" s="1029"/>
      <c r="M106" s="834">
        <v>0</v>
      </c>
      <c r="N106" s="834">
        <v>0</v>
      </c>
      <c r="O106" s="834">
        <v>0</v>
      </c>
      <c r="P106" s="1029"/>
      <c r="Q106" s="834">
        <v>0</v>
      </c>
      <c r="R106" s="834">
        <v>0</v>
      </c>
      <c r="S106" s="834">
        <v>0</v>
      </c>
    </row>
    <row r="107" spans="1:19">
      <c r="A107" s="1058">
        <f t="shared" si="49"/>
        <v>9.4299999999999908</v>
      </c>
      <c r="B107" s="1408" t="s">
        <v>1168</v>
      </c>
      <c r="C107" s="1408">
        <f>-E107</f>
        <v>0</v>
      </c>
      <c r="D107" s="1408">
        <f>-F107</f>
        <v>0</v>
      </c>
      <c r="E107" s="1409">
        <f>C106</f>
        <v>0</v>
      </c>
      <c r="F107" s="1409">
        <f>D106</f>
        <v>0</v>
      </c>
      <c r="G107" s="1029">
        <f t="shared" ref="G107:G113" si="76">ROUND(SUM(C107:F107)/2,0)</f>
        <v>0</v>
      </c>
      <c r="H107" s="1029"/>
      <c r="I107" s="1029"/>
      <c r="J107" s="1029"/>
      <c r="K107" s="1029"/>
      <c r="L107" s="1029"/>
      <c r="M107" s="1391"/>
      <c r="N107" s="1391"/>
      <c r="O107" s="1391"/>
      <c r="P107" s="1029"/>
      <c r="Q107" s="1391"/>
      <c r="R107" s="1391"/>
      <c r="S107" s="1391"/>
    </row>
    <row r="108" spans="1:19">
      <c r="A108" s="1058">
        <f t="shared" si="49"/>
        <v>9.4399999999999906</v>
      </c>
      <c r="B108" s="834" t="s">
        <v>926</v>
      </c>
      <c r="C108" s="1029">
        <f>-E108</f>
        <v>43587.53</v>
      </c>
      <c r="D108" s="1029">
        <f>-F108</f>
        <v>1602415.85</v>
      </c>
      <c r="E108" s="1029">
        <v>-43587.53</v>
      </c>
      <c r="F108" s="1029">
        <v>-1602415.85</v>
      </c>
      <c r="G108" s="1029">
        <f t="shared" si="76"/>
        <v>0</v>
      </c>
      <c r="H108" s="1029"/>
      <c r="I108" s="1029"/>
      <c r="J108" s="1029"/>
      <c r="K108" s="1029"/>
      <c r="L108" s="1029"/>
      <c r="M108" s="1391"/>
      <c r="N108" s="1391"/>
      <c r="O108" s="1391"/>
      <c r="P108" s="1029"/>
      <c r="Q108" s="1391"/>
      <c r="R108" s="1391"/>
      <c r="S108" s="1391"/>
    </row>
    <row r="109" spans="1:19">
      <c r="A109" s="1058">
        <f t="shared" si="49"/>
        <v>9.4499999999999904</v>
      </c>
      <c r="B109" s="834" t="s">
        <v>977</v>
      </c>
      <c r="C109" s="1029">
        <f t="shared" ref="C109:C110" si="77">-E109</f>
        <v>11991483.960000001</v>
      </c>
      <c r="D109" s="1029">
        <f t="shared" ref="D109:D110" si="78">-F109</f>
        <v>14506872.02</v>
      </c>
      <c r="E109" s="1029">
        <v>-11991483.960000001</v>
      </c>
      <c r="F109" s="1029">
        <v>-14506872.02</v>
      </c>
      <c r="G109" s="1029">
        <f t="shared" si="76"/>
        <v>0</v>
      </c>
      <c r="H109" s="1029"/>
      <c r="I109" s="1029"/>
      <c r="J109" s="1029"/>
      <c r="K109" s="1029"/>
      <c r="L109" s="1029"/>
      <c r="M109" s="1391"/>
      <c r="N109" s="1391"/>
      <c r="O109" s="1391"/>
      <c r="P109" s="1029"/>
      <c r="Q109" s="1391"/>
      <c r="R109" s="1391"/>
      <c r="S109" s="1391"/>
    </row>
    <row r="110" spans="1:19">
      <c r="A110" s="1058">
        <f t="shared" si="49"/>
        <v>9.4599999999999902</v>
      </c>
      <c r="B110" s="834" t="s">
        <v>978</v>
      </c>
      <c r="C110" s="1029">
        <f t="shared" si="77"/>
        <v>2285951.4300000002</v>
      </c>
      <c r="D110" s="1029">
        <f t="shared" si="78"/>
        <v>2132086.4300000002</v>
      </c>
      <c r="E110" s="1029">
        <v>-2285951.4300000002</v>
      </c>
      <c r="F110" s="1029">
        <v>-2132086.4300000002</v>
      </c>
      <c r="G110" s="1029">
        <f t="shared" si="76"/>
        <v>0</v>
      </c>
      <c r="H110" s="1029"/>
      <c r="I110" s="1029"/>
      <c r="J110" s="1029"/>
      <c r="K110" s="1029"/>
      <c r="L110" s="1029"/>
      <c r="M110" s="1391"/>
      <c r="N110" s="1391"/>
      <c r="O110" s="1391"/>
      <c r="P110" s="1029"/>
      <c r="Q110" s="1391"/>
      <c r="R110" s="1391"/>
      <c r="S110" s="1391"/>
    </row>
    <row r="111" spans="1:19">
      <c r="A111" s="1058">
        <f t="shared" si="49"/>
        <v>9.46999999999999</v>
      </c>
      <c r="B111" s="834" t="s">
        <v>1176</v>
      </c>
      <c r="C111" s="1029">
        <f t="shared" ref="C111" si="79">-E111</f>
        <v>-72486</v>
      </c>
      <c r="D111" s="1029">
        <f t="shared" ref="D111" si="80">-F111</f>
        <v>-72486</v>
      </c>
      <c r="E111" s="1029">
        <v>72486</v>
      </c>
      <c r="F111" s="1029">
        <v>72486</v>
      </c>
      <c r="G111" s="1029">
        <f t="shared" ref="G111" si="81">ROUND(SUM(C111:F111)/2,0)</f>
        <v>0</v>
      </c>
      <c r="H111" s="1029"/>
      <c r="I111" s="1029"/>
      <c r="J111" s="1029"/>
      <c r="K111" s="1029"/>
      <c r="L111" s="1029"/>
      <c r="M111" s="1391"/>
      <c r="N111" s="1391"/>
      <c r="O111" s="1391"/>
      <c r="P111" s="1029"/>
      <c r="Q111" s="1391"/>
      <c r="R111" s="1391"/>
      <c r="S111" s="1391"/>
    </row>
    <row r="112" spans="1:19">
      <c r="A112" s="1058">
        <f t="shared" si="49"/>
        <v>9.4799999999999898</v>
      </c>
      <c r="B112" s="834" t="s">
        <v>1165</v>
      </c>
      <c r="C112" s="1029">
        <f t="shared" ref="C112" si="82">-E112</f>
        <v>-456598</v>
      </c>
      <c r="D112" s="1029">
        <f t="shared" ref="D112" si="83">-F112</f>
        <v>-456598</v>
      </c>
      <c r="E112" s="1029">
        <v>456598</v>
      </c>
      <c r="F112" s="1029">
        <v>456598</v>
      </c>
      <c r="G112" s="1029">
        <f t="shared" si="76"/>
        <v>0</v>
      </c>
      <c r="H112" s="1029"/>
      <c r="I112" s="1029"/>
      <c r="J112" s="1029"/>
      <c r="K112" s="1029"/>
      <c r="L112" s="1029"/>
      <c r="M112" s="1391"/>
      <c r="N112" s="1391"/>
      <c r="O112" s="1391"/>
      <c r="P112" s="1029"/>
      <c r="Q112" s="1391"/>
      <c r="R112" s="1391"/>
      <c r="S112" s="1391"/>
    </row>
    <row r="113" spans="1:19">
      <c r="A113" s="1058">
        <f t="shared" si="49"/>
        <v>9.4899999999999896</v>
      </c>
      <c r="B113" s="834" t="s">
        <v>979</v>
      </c>
      <c r="C113" s="1029">
        <f t="shared" si="42"/>
        <v>0</v>
      </c>
      <c r="D113" s="1029">
        <f t="shared" si="39"/>
        <v>0</v>
      </c>
      <c r="E113" s="1029">
        <v>0</v>
      </c>
      <c r="F113" s="1029">
        <v>0</v>
      </c>
      <c r="G113" s="1029">
        <f t="shared" si="76"/>
        <v>0</v>
      </c>
      <c r="H113" s="1029"/>
      <c r="I113" s="1029"/>
      <c r="J113" s="1029"/>
      <c r="K113" s="1029"/>
      <c r="L113" s="1029"/>
      <c r="M113" s="1391"/>
      <c r="N113" s="1391"/>
      <c r="O113" s="1391"/>
      <c r="P113" s="1029"/>
      <c r="Q113" s="1391"/>
      <c r="R113" s="1391"/>
      <c r="S113" s="1391"/>
    </row>
    <row r="114" spans="1:19">
      <c r="A114" s="1038"/>
      <c r="B114" s="1019"/>
      <c r="C114" s="1029"/>
      <c r="D114" s="1029"/>
      <c r="E114" s="1029"/>
      <c r="F114" s="1029"/>
      <c r="G114" s="1029"/>
      <c r="H114" s="1029"/>
      <c r="I114" s="1029"/>
      <c r="J114" s="1029"/>
      <c r="K114" s="1029"/>
      <c r="L114" s="1029"/>
      <c r="M114" s="1029"/>
      <c r="N114" s="1029"/>
      <c r="O114" s="1029"/>
      <c r="P114" s="1029"/>
      <c r="Q114" s="1029"/>
      <c r="R114" s="1029"/>
      <c r="S114" s="1029"/>
    </row>
    <row r="115" spans="1:19">
      <c r="A115" s="1038"/>
      <c r="B115" s="1019"/>
      <c r="C115" s="1029"/>
      <c r="D115" s="1029"/>
      <c r="E115" s="1029"/>
      <c r="F115" s="1029"/>
      <c r="G115" s="1029"/>
      <c r="H115" s="1029"/>
      <c r="I115" s="1029"/>
      <c r="J115" s="1029"/>
      <c r="K115" s="1029"/>
      <c r="L115" s="1029"/>
      <c r="M115" s="1029"/>
      <c r="N115" s="1029"/>
      <c r="O115" s="1029"/>
      <c r="P115" s="1029"/>
      <c r="Q115" s="1029"/>
      <c r="R115" s="1029"/>
      <c r="S115" s="1029"/>
    </row>
    <row r="116" spans="1:19" ht="13.5" thickBot="1">
      <c r="A116" s="1038">
        <v>10</v>
      </c>
      <c r="B116" s="1020"/>
      <c r="C116" s="1031">
        <f>SUM(C65:C115)</f>
        <v>39159217.829000004</v>
      </c>
      <c r="D116" s="1031">
        <f>SUM(D65:D115)</f>
        <v>74616536.199000001</v>
      </c>
      <c r="E116" s="1031">
        <f>SUM(E65:E115)</f>
        <v>-13791938.92</v>
      </c>
      <c r="F116" s="1031">
        <f>SUM(F65:F115)</f>
        <v>-17712290.300000001</v>
      </c>
      <c r="G116" s="1031">
        <f>SUM(G65:G115)</f>
        <v>41135761</v>
      </c>
      <c r="H116" s="1035"/>
      <c r="I116" s="1031">
        <f>SUM(I65:I115)</f>
        <v>39925032.88499999</v>
      </c>
      <c r="J116" s="1031">
        <f>SUM(J65:J115)</f>
        <v>-454056.27100000001</v>
      </c>
      <c r="K116" s="1031">
        <f>SUM(K65:K115)</f>
        <v>1664785.79</v>
      </c>
      <c r="L116" s="1035"/>
      <c r="M116" s="1031">
        <f>SUM(M65:M115)</f>
        <v>24267854.290000003</v>
      </c>
      <c r="N116" s="1031">
        <f>SUM(N65:N115)</f>
        <v>-518229.28100000002</v>
      </c>
      <c r="O116" s="1031">
        <f>SUM(O65:O115)</f>
        <v>1617653.9000000001</v>
      </c>
      <c r="P116" s="1035"/>
      <c r="Q116" s="1031">
        <f>SUM(Q65:Q115)</f>
        <v>55582211.479999997</v>
      </c>
      <c r="R116" s="1031">
        <f>SUM(R65:R115)</f>
        <v>-389883.26100000006</v>
      </c>
      <c r="S116" s="1031">
        <f>SUM(S65:S115)</f>
        <v>1711917.6800000002</v>
      </c>
    </row>
    <row r="117" spans="1:19" ht="13.5" thickTop="1">
      <c r="A117" s="1038"/>
      <c r="B117" s="1019"/>
      <c r="C117" s="1032"/>
      <c r="D117" s="1032"/>
      <c r="E117" s="1032"/>
      <c r="F117" s="1032"/>
      <c r="G117" s="1032"/>
      <c r="H117" s="1029"/>
      <c r="I117" s="1032"/>
      <c r="J117" s="1032"/>
      <c r="K117" s="1032"/>
      <c r="L117" s="1029"/>
      <c r="M117" s="1032"/>
      <c r="N117" s="1032"/>
      <c r="O117" s="1032"/>
      <c r="P117" s="1029"/>
      <c r="Q117" s="1032"/>
      <c r="R117" s="1032"/>
      <c r="S117" s="1032"/>
    </row>
    <row r="118" spans="1:19">
      <c r="A118" s="1038"/>
      <c r="B118" s="1019"/>
      <c r="C118" s="1029"/>
      <c r="D118" s="1029"/>
      <c r="E118" s="1029"/>
      <c r="F118" s="1029"/>
      <c r="G118" s="1029"/>
      <c r="H118" s="1029"/>
      <c r="I118" s="1029"/>
      <c r="J118" s="1029"/>
      <c r="K118" s="1029"/>
      <c r="L118" s="1029"/>
      <c r="M118" s="1029"/>
      <c r="N118" s="1029"/>
      <c r="O118" s="1029"/>
      <c r="P118" s="1029"/>
      <c r="Q118" s="1029"/>
      <c r="R118" s="1029"/>
      <c r="S118" s="1029"/>
    </row>
    <row r="119" spans="1:19">
      <c r="A119" s="1038">
        <f>+A116+1</f>
        <v>11</v>
      </c>
      <c r="B119" s="233" t="s">
        <v>725</v>
      </c>
      <c r="C119" s="1029">
        <f>SUM(M119:O119)</f>
        <v>13328156.880000001</v>
      </c>
      <c r="D119" s="1029">
        <f>SUM(Q119:S119)</f>
        <v>14959666.879999999</v>
      </c>
      <c r="E119" s="1029"/>
      <c r="F119" s="1029"/>
      <c r="G119" s="1029">
        <f>ROUND(SUM(C119:F119)/2,0)</f>
        <v>14143912</v>
      </c>
      <c r="H119" s="1029"/>
      <c r="I119" s="1029">
        <f>(M119+Q119)/2</f>
        <v>10277209.469999999</v>
      </c>
      <c r="J119" s="1029">
        <f>(N119+R119)/2</f>
        <v>433388.68</v>
      </c>
      <c r="K119" s="1029">
        <f>(O119+S119)/2</f>
        <v>3433313.73</v>
      </c>
      <c r="L119" s="1029"/>
      <c r="M119" s="834">
        <v>9518301.4700000007</v>
      </c>
      <c r="N119" s="834">
        <v>433182.68</v>
      </c>
      <c r="O119" s="834">
        <v>3376672.73</v>
      </c>
      <c r="P119" s="1029"/>
      <c r="Q119" s="834">
        <f>6338818.47+4697299</f>
        <v>11036117.469999999</v>
      </c>
      <c r="R119" s="834">
        <v>433594.68</v>
      </c>
      <c r="S119" s="834">
        <v>3489954.73</v>
      </c>
    </row>
    <row r="120" spans="1:19">
      <c r="A120" s="1058">
        <f>A119+0.01</f>
        <v>11.01</v>
      </c>
      <c r="B120" s="834" t="s">
        <v>980</v>
      </c>
      <c r="C120" s="834">
        <f>-E120</f>
        <v>42809358.109999999</v>
      </c>
      <c r="D120" s="834">
        <f>-F120</f>
        <v>52490398.159999996</v>
      </c>
      <c r="E120" s="1029">
        <v>-42809358.109999999</v>
      </c>
      <c r="F120" s="1029">
        <v>-52490398.159999996</v>
      </c>
      <c r="G120" s="1029">
        <f>ROUND(SUM(C120:F120)/2,0)</f>
        <v>0</v>
      </c>
      <c r="H120" s="1029"/>
      <c r="I120" s="1029"/>
      <c r="J120" s="1029"/>
      <c r="K120" s="1029"/>
      <c r="L120" s="1029"/>
      <c r="M120" s="1029"/>
      <c r="N120" s="1029"/>
      <c r="O120" s="1029"/>
      <c r="P120" s="1029"/>
      <c r="Q120" s="1029"/>
      <c r="R120" s="1029"/>
      <c r="S120" s="1029"/>
    </row>
    <row r="121" spans="1:19">
      <c r="A121" s="1038"/>
      <c r="B121" s="1019"/>
      <c r="C121" s="1029"/>
      <c r="D121" s="1029"/>
      <c r="E121" s="1029"/>
      <c r="F121" s="1029"/>
      <c r="G121" s="1029"/>
      <c r="H121" s="1029"/>
      <c r="I121" s="1029"/>
      <c r="J121" s="1029"/>
      <c r="K121" s="1029"/>
      <c r="L121" s="1029"/>
      <c r="M121" s="1029"/>
      <c r="N121" s="1029"/>
      <c r="O121" s="1029"/>
      <c r="P121" s="1029"/>
      <c r="Q121" s="1029"/>
      <c r="R121" s="1029"/>
      <c r="S121" s="1029"/>
    </row>
    <row r="122" spans="1:19" ht="13.5" thickBot="1">
      <c r="A122" s="1038">
        <f>+A119+1</f>
        <v>12</v>
      </c>
      <c r="B122" s="937" t="s">
        <v>726</v>
      </c>
      <c r="C122" s="1031">
        <f>SUM(C116:C121)</f>
        <v>95296732.819000006</v>
      </c>
      <c r="D122" s="1031">
        <f>SUM(D116:D121)</f>
        <v>142066601.23899999</v>
      </c>
      <c r="E122" s="1031">
        <f>SUM(E116:E121)</f>
        <v>-56601297.030000001</v>
      </c>
      <c r="F122" s="1031">
        <f>SUM(F116:F121)</f>
        <v>-70202688.459999993</v>
      </c>
      <c r="G122" s="1031">
        <f>SUM(G116:G121)</f>
        <v>55279673</v>
      </c>
      <c r="H122" s="1029"/>
      <c r="I122" s="1031">
        <f>SUM(I116:I121)</f>
        <v>50202242.354999989</v>
      </c>
      <c r="J122" s="1031">
        <f>SUM(J116:J121)</f>
        <v>-20667.591000000015</v>
      </c>
      <c r="K122" s="1031">
        <f>SUM(K116:K121)</f>
        <v>5098099.5199999996</v>
      </c>
      <c r="L122" s="1029"/>
      <c r="M122" s="1031">
        <f>SUM(M116:M121)</f>
        <v>33786155.760000005</v>
      </c>
      <c r="N122" s="1031">
        <f>SUM(N116:N121)</f>
        <v>-85046.601000000024</v>
      </c>
      <c r="O122" s="1031">
        <f>SUM(O116:O121)</f>
        <v>4994326.63</v>
      </c>
      <c r="P122" s="1029"/>
      <c r="Q122" s="1031">
        <f>SUM(Q116:Q121)</f>
        <v>66618328.949999996</v>
      </c>
      <c r="R122" s="1031">
        <f>SUM(R116:R121)</f>
        <v>43711.418999999936</v>
      </c>
      <c r="S122" s="1031">
        <f>SUM(S116:S121)</f>
        <v>5201872.41</v>
      </c>
    </row>
    <row r="123" spans="1:19" ht="13.5" thickTop="1">
      <c r="A123" s="1038">
        <f>A122+1</f>
        <v>13</v>
      </c>
      <c r="B123" s="1105" t="s">
        <v>737</v>
      </c>
      <c r="C123" s="1032">
        <f>C81</f>
        <v>0.01</v>
      </c>
      <c r="D123" s="1032">
        <f t="shared" ref="D123:S123" si="84">D81</f>
        <v>0.01</v>
      </c>
      <c r="E123" s="1032">
        <f t="shared" si="84"/>
        <v>0</v>
      </c>
      <c r="F123" s="1032">
        <f t="shared" si="84"/>
        <v>0</v>
      </c>
      <c r="G123" s="1032">
        <f t="shared" si="84"/>
        <v>0</v>
      </c>
      <c r="H123" s="1029"/>
      <c r="I123" s="1032">
        <f t="shared" si="84"/>
        <v>0</v>
      </c>
      <c r="J123" s="1032">
        <f t="shared" si="84"/>
        <v>0</v>
      </c>
      <c r="K123" s="1032">
        <f t="shared" si="84"/>
        <v>0.01</v>
      </c>
      <c r="L123" s="1029"/>
      <c r="M123" s="1032">
        <f t="shared" si="84"/>
        <v>0</v>
      </c>
      <c r="N123" s="1032">
        <f t="shared" si="84"/>
        <v>0</v>
      </c>
      <c r="O123" s="1032">
        <f t="shared" si="84"/>
        <v>0.01</v>
      </c>
      <c r="P123" s="1029"/>
      <c r="Q123" s="1032">
        <f t="shared" si="84"/>
        <v>0</v>
      </c>
      <c r="R123" s="1032">
        <f t="shared" si="84"/>
        <v>0</v>
      </c>
      <c r="S123" s="1032">
        <f t="shared" si="84"/>
        <v>0.01</v>
      </c>
    </row>
    <row r="124" spans="1:19">
      <c r="A124" s="1038"/>
      <c r="B124" s="1019"/>
      <c r="C124" s="1034"/>
      <c r="D124" s="1034"/>
      <c r="E124" s="1029"/>
      <c r="F124" s="1029"/>
      <c r="G124" s="1029"/>
      <c r="H124" s="1029"/>
      <c r="I124" s="1029"/>
      <c r="J124" s="1029"/>
      <c r="K124" s="1029"/>
      <c r="L124" s="1029"/>
      <c r="M124" s="1029"/>
      <c r="N124" s="1029"/>
      <c r="O124" s="1029"/>
      <c r="P124" s="1029"/>
      <c r="Q124" s="1029"/>
      <c r="R124" s="1029"/>
      <c r="S124" s="1029"/>
    </row>
    <row r="125" spans="1:19">
      <c r="A125" s="1038">
        <f>+A123+1</f>
        <v>14</v>
      </c>
      <c r="B125" s="1020" t="s">
        <v>727</v>
      </c>
      <c r="C125" s="1029"/>
      <c r="D125" s="1029"/>
      <c r="E125" s="1029"/>
      <c r="F125" s="1029"/>
      <c r="G125" s="1029"/>
      <c r="H125" s="1029"/>
      <c r="I125" s="1029"/>
      <c r="J125" s="1029"/>
      <c r="K125" s="1029"/>
      <c r="L125" s="1029"/>
      <c r="M125" s="1029"/>
      <c r="N125" s="1029"/>
      <c r="O125" s="1029"/>
      <c r="P125" s="1029"/>
      <c r="Q125" s="1029"/>
      <c r="R125" s="1029"/>
      <c r="S125" s="1029"/>
    </row>
    <row r="126" spans="1:19">
      <c r="A126" s="1038"/>
      <c r="B126" s="1019"/>
      <c r="C126" s="1029"/>
      <c r="D126" s="1029"/>
      <c r="E126" s="1029"/>
      <c r="F126" s="1029"/>
      <c r="G126" s="1029"/>
      <c r="H126" s="1029"/>
      <c r="I126" s="1029"/>
      <c r="J126" s="1029"/>
      <c r="K126" s="1029"/>
      <c r="L126" s="1029"/>
      <c r="M126" s="1029"/>
      <c r="N126" s="1029"/>
      <c r="O126" s="1029"/>
      <c r="P126" s="1029"/>
      <c r="Q126" s="1029"/>
      <c r="R126" s="1029"/>
      <c r="S126" s="1029"/>
    </row>
    <row r="127" spans="1:19">
      <c r="A127" s="1038">
        <f>+A125+1</f>
        <v>15</v>
      </c>
      <c r="B127" s="1020" t="s">
        <v>728</v>
      </c>
      <c r="C127" s="1029"/>
      <c r="D127" s="1029"/>
      <c r="E127" s="1029"/>
      <c r="F127" s="1029"/>
      <c r="G127" s="1029"/>
      <c r="H127" s="1029"/>
      <c r="I127" s="1029"/>
      <c r="J127" s="1029"/>
      <c r="K127" s="1029"/>
      <c r="L127" s="1029"/>
      <c r="M127" s="1029"/>
      <c r="N127" s="1029"/>
      <c r="O127" s="1029"/>
      <c r="P127" s="1029"/>
      <c r="Q127" s="1029"/>
      <c r="R127" s="1029"/>
      <c r="S127" s="1029"/>
    </row>
    <row r="128" spans="1:19">
      <c r="A128" s="1038"/>
      <c r="B128" s="1019"/>
      <c r="C128" s="1029"/>
      <c r="D128" s="1036"/>
      <c r="E128" s="1036"/>
      <c r="F128" s="1036"/>
      <c r="G128" s="1036"/>
      <c r="H128" s="1036"/>
      <c r="I128" s="1036"/>
      <c r="J128" s="1036"/>
      <c r="K128" s="1036"/>
      <c r="L128" s="1036"/>
      <c r="M128" s="1029"/>
      <c r="N128" s="1029"/>
      <c r="O128" s="1029"/>
      <c r="P128" s="1029"/>
      <c r="Q128" s="1029"/>
      <c r="R128" s="1029"/>
      <c r="S128" s="1029"/>
    </row>
    <row r="129" spans="1:19">
      <c r="A129" s="1038">
        <f>+A127+1</f>
        <v>16</v>
      </c>
      <c r="B129" s="1020" t="s">
        <v>729</v>
      </c>
      <c r="C129" s="1029"/>
      <c r="D129" s="1036"/>
      <c r="E129" s="1036"/>
      <c r="F129" s="1036"/>
      <c r="G129" s="1036"/>
      <c r="H129" s="1036"/>
      <c r="I129" s="1036"/>
      <c r="J129" s="1036"/>
      <c r="K129" s="1036"/>
      <c r="L129" s="1036"/>
      <c r="M129" s="1029"/>
      <c r="N129" s="1029"/>
      <c r="O129" s="1029"/>
      <c r="P129" s="1029"/>
      <c r="Q129" s="1029"/>
      <c r="R129" s="1029"/>
      <c r="S129" s="1029"/>
    </row>
    <row r="130" spans="1:19">
      <c r="A130" s="1038"/>
      <c r="B130" s="1019"/>
      <c r="C130" s="1029"/>
      <c r="D130" s="1029"/>
      <c r="E130" s="1029"/>
      <c r="F130" s="1029"/>
      <c r="G130" s="1029"/>
      <c r="H130" s="1029"/>
      <c r="I130" s="1029"/>
      <c r="J130" s="1029"/>
      <c r="K130" s="1029"/>
      <c r="L130" s="1029"/>
      <c r="M130" s="1029"/>
      <c r="N130" s="1029"/>
      <c r="O130" s="1029"/>
      <c r="P130" s="1029"/>
      <c r="Q130" s="1029"/>
      <c r="R130" s="1029"/>
      <c r="S130" s="1029"/>
    </row>
    <row r="131" spans="1:19">
      <c r="A131" s="1038">
        <f>+A129+1</f>
        <v>17</v>
      </c>
      <c r="B131" s="233" t="s">
        <v>730</v>
      </c>
      <c r="C131" s="1029"/>
      <c r="D131" s="1029"/>
      <c r="E131" s="1029"/>
      <c r="F131" s="1029"/>
      <c r="G131" s="1029"/>
      <c r="H131" s="1029"/>
      <c r="I131" s="1029"/>
      <c r="J131" s="1029"/>
      <c r="K131" s="1029"/>
      <c r="L131" s="1029"/>
      <c r="M131" s="1029"/>
      <c r="N131" s="1029"/>
      <c r="O131" s="1029"/>
      <c r="P131" s="1029"/>
      <c r="Q131" s="1029"/>
      <c r="R131" s="1029"/>
      <c r="S131" s="1029"/>
    </row>
    <row r="132" spans="1:19">
      <c r="A132" s="1038">
        <f>A131+1</f>
        <v>18</v>
      </c>
      <c r="B132" s="233" t="s">
        <v>731</v>
      </c>
      <c r="C132" s="1029"/>
      <c r="D132" s="1029"/>
      <c r="E132" s="1029"/>
      <c r="F132" s="1029"/>
      <c r="G132" s="1029"/>
      <c r="H132" s="1029"/>
      <c r="I132" s="1029"/>
      <c r="J132" s="1029"/>
      <c r="K132" s="1029"/>
      <c r="L132" s="1029"/>
      <c r="M132" s="1029"/>
      <c r="N132" s="1029"/>
      <c r="O132" s="1029"/>
      <c r="P132" s="1029"/>
      <c r="Q132" s="1391"/>
      <c r="R132" s="1029"/>
      <c r="S132" s="1029"/>
    </row>
    <row r="133" spans="1:19">
      <c r="A133" s="1058">
        <f>A132+0.01</f>
        <v>18.010000000000002</v>
      </c>
      <c r="B133" s="834" t="s">
        <v>981</v>
      </c>
      <c r="C133" s="1029">
        <f>SUM(M133:O133)</f>
        <v>0</v>
      </c>
      <c r="D133" s="1029">
        <f>SUM(Q133:S133)</f>
        <v>0</v>
      </c>
      <c r="E133" s="1029"/>
      <c r="F133" s="1029"/>
      <c r="G133" s="1029">
        <f>ROUND(SUM(C133:F133)/2,0)</f>
        <v>0</v>
      </c>
      <c r="H133" s="1029"/>
      <c r="I133" s="1029">
        <f t="shared" ref="I133:K134" si="85">(M133+Q133)/2</f>
        <v>0</v>
      </c>
      <c r="J133" s="1029">
        <f t="shared" si="85"/>
        <v>0</v>
      </c>
      <c r="K133" s="1029">
        <f t="shared" si="85"/>
        <v>0</v>
      </c>
      <c r="L133" s="1029"/>
      <c r="M133" s="834">
        <v>0</v>
      </c>
      <c r="N133" s="834">
        <v>0</v>
      </c>
      <c r="O133" s="834">
        <v>0</v>
      </c>
      <c r="P133" s="1029"/>
      <c r="Q133" s="834">
        <v>0</v>
      </c>
      <c r="R133" s="834">
        <v>0</v>
      </c>
      <c r="S133" s="834">
        <v>0</v>
      </c>
    </row>
    <row r="134" spans="1:19">
      <c r="A134" s="1058">
        <f>A133+0.01</f>
        <v>18.020000000000003</v>
      </c>
      <c r="B134" s="834"/>
      <c r="C134" s="1029">
        <f>SUM(M134:O134)</f>
        <v>0</v>
      </c>
      <c r="D134" s="1029">
        <f>SUM(Q134:S134)</f>
        <v>0</v>
      </c>
      <c r="E134" s="1029"/>
      <c r="F134" s="1029"/>
      <c r="G134" s="1029">
        <f>ROUND(SUM(C134:F134)/2,0)</f>
        <v>0</v>
      </c>
      <c r="H134" s="1029"/>
      <c r="I134" s="1029">
        <f t="shared" si="85"/>
        <v>0</v>
      </c>
      <c r="J134" s="1029">
        <f t="shared" si="85"/>
        <v>0</v>
      </c>
      <c r="K134" s="1029">
        <f t="shared" si="85"/>
        <v>0</v>
      </c>
      <c r="L134" s="1029"/>
      <c r="M134" s="834"/>
      <c r="N134" s="834"/>
      <c r="O134" s="834"/>
      <c r="P134" s="1029"/>
      <c r="Q134" s="834"/>
      <c r="R134" s="834"/>
      <c r="S134" s="834"/>
    </row>
    <row r="135" spans="1:19">
      <c r="A135" s="1038">
        <f>INT(A134)+1</f>
        <v>19</v>
      </c>
      <c r="B135" s="1020"/>
      <c r="C135" s="1029"/>
      <c r="D135" s="1029"/>
      <c r="E135" s="1029"/>
      <c r="F135" s="1029"/>
      <c r="G135" s="1029"/>
      <c r="H135" s="1029"/>
      <c r="I135" s="1029"/>
      <c r="J135" s="1029"/>
      <c r="K135" s="1029"/>
      <c r="L135" s="1029"/>
      <c r="M135" s="1029"/>
      <c r="N135" s="1029"/>
      <c r="O135" s="1029"/>
      <c r="P135" s="1029"/>
      <c r="Q135" s="1029"/>
      <c r="R135" s="1029"/>
      <c r="S135" s="1029"/>
    </row>
    <row r="136" spans="1:19">
      <c r="A136" s="1038">
        <f>A135+1</f>
        <v>20</v>
      </c>
      <c r="B136" s="233" t="s">
        <v>732</v>
      </c>
      <c r="C136" s="1031">
        <f>SUM(C133:C135)</f>
        <v>0</v>
      </c>
      <c r="D136" s="1031">
        <f>SUM(D133:D135)</f>
        <v>0</v>
      </c>
      <c r="E136" s="1031">
        <f>SUM(E133:E135)</f>
        <v>0</v>
      </c>
      <c r="F136" s="1031">
        <f>SUM(F133:F135)</f>
        <v>0</v>
      </c>
      <c r="G136" s="1031">
        <f>SUM(G133:G135)</f>
        <v>0</v>
      </c>
      <c r="H136" s="1029"/>
      <c r="I136" s="1031">
        <f>SUM(I133:I135)</f>
        <v>0</v>
      </c>
      <c r="J136" s="1031">
        <f>SUM(J133:J135)</f>
        <v>0</v>
      </c>
      <c r="K136" s="1031">
        <f>SUM(K133:K135)</f>
        <v>0</v>
      </c>
      <c r="L136" s="1029"/>
      <c r="M136" s="1031">
        <f>SUM(M133:M135)</f>
        <v>0</v>
      </c>
      <c r="N136" s="1031">
        <f>SUM(N133:N135)</f>
        <v>0</v>
      </c>
      <c r="O136" s="1031">
        <f>SUM(O133:O135)</f>
        <v>0</v>
      </c>
      <c r="P136" s="1029"/>
      <c r="Q136" s="1031">
        <f>SUM(Q133:Q135)</f>
        <v>0</v>
      </c>
      <c r="R136" s="1031">
        <f>SUM(R133:R135)</f>
        <v>0</v>
      </c>
      <c r="S136" s="1031">
        <f>SUM(S133:S135)</f>
        <v>0</v>
      </c>
    </row>
  </sheetData>
  <pageMargins left="0.7" right="0.7" top="0.75" bottom="0.75" header="0.3" footer="0.3"/>
  <pageSetup scale="3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IV132"/>
  <sheetViews>
    <sheetView view="pageBreakPreview" topLeftCell="A8" zoomScale="85" zoomScaleNormal="100" zoomScaleSheetLayoutView="85" workbookViewId="0">
      <selection activeCell="S67" sqref="S67"/>
    </sheetView>
  </sheetViews>
  <sheetFormatPr defaultRowHeight="12.75"/>
  <cols>
    <col min="1" max="1" width="7" bestFit="1" customWidth="1"/>
    <col min="2" max="2" width="54.5703125" bestFit="1" customWidth="1"/>
    <col min="3" max="3" width="13.42578125" bestFit="1" customWidth="1"/>
    <col min="4" max="4" width="12.85546875" bestFit="1" customWidth="1"/>
    <col min="5" max="6" width="17" customWidth="1"/>
    <col min="7" max="7" width="15.42578125" bestFit="1" customWidth="1"/>
    <col min="8" max="8" width="3" customWidth="1"/>
    <col min="9" max="9" width="13.140625" bestFit="1" customWidth="1"/>
    <col min="10" max="10" width="15" bestFit="1" customWidth="1"/>
    <col min="11" max="11" width="13.5703125" bestFit="1" customWidth="1"/>
    <col min="12" max="12" width="3.85546875" customWidth="1"/>
    <col min="13" max="13" width="13.140625" bestFit="1" customWidth="1"/>
    <col min="14" max="14" width="15" bestFit="1" customWidth="1"/>
    <col min="15" max="15" width="13.5703125" bestFit="1" customWidth="1"/>
    <col min="16" max="16" width="3.42578125" customWidth="1"/>
    <col min="17" max="17" width="13.140625" bestFit="1" customWidth="1"/>
    <col min="18" max="18" width="15" bestFit="1" customWidth="1"/>
    <col min="19" max="19" width="13.5703125" bestFit="1" customWidth="1"/>
  </cols>
  <sheetData>
    <row r="1" spans="1:19">
      <c r="A1" s="1039"/>
      <c r="B1" s="1104" t="str">
        <f>TCOS!F9</f>
        <v>WHEELING POWER COMPANY</v>
      </c>
      <c r="C1" s="1040"/>
      <c r="D1" s="1040"/>
      <c r="E1" s="1040"/>
      <c r="F1" s="1019"/>
      <c r="G1" s="233"/>
      <c r="H1" s="233"/>
      <c r="I1" s="233"/>
      <c r="J1" s="233"/>
      <c r="K1" s="233"/>
      <c r="L1" s="233"/>
      <c r="M1" s="1019"/>
      <c r="N1" s="1019"/>
      <c r="O1" s="233"/>
      <c r="P1" s="1019"/>
      <c r="Q1" s="1019"/>
      <c r="R1" s="1019"/>
      <c r="S1" s="233"/>
    </row>
    <row r="2" spans="1:19">
      <c r="A2" s="1039"/>
      <c r="B2" s="1018" t="s">
        <v>818</v>
      </c>
      <c r="C2" s="1040"/>
      <c r="D2" s="1040"/>
      <c r="E2" s="1040"/>
      <c r="F2" s="1040"/>
      <c r="G2" s="1041"/>
      <c r="H2" s="1041"/>
      <c r="I2" s="1041"/>
      <c r="J2" s="1041"/>
      <c r="K2" s="1041"/>
      <c r="L2" s="1041"/>
      <c r="M2" s="1019"/>
      <c r="N2" s="1019"/>
      <c r="O2" s="1041"/>
      <c r="P2" s="1019"/>
      <c r="Q2" s="1019"/>
      <c r="R2" s="1019"/>
      <c r="S2" s="1041"/>
    </row>
    <row r="3" spans="1:19">
      <c r="A3" s="1039"/>
      <c r="B3" s="1018" t="str">
        <f>"PERIOD ENDED DECEMBER 31, "&amp;TCOS!L4</f>
        <v>PERIOD ENDED DECEMBER 31, 2022</v>
      </c>
      <c r="C3" s="1040"/>
      <c r="D3" s="1040"/>
      <c r="E3" s="1040"/>
      <c r="F3" s="1040"/>
      <c r="G3" s="1040"/>
      <c r="H3" s="1040"/>
      <c r="I3" s="1040"/>
      <c r="J3" s="1040"/>
      <c r="K3" s="1040"/>
      <c r="L3" s="1040"/>
      <c r="M3" s="1019"/>
      <c r="N3" s="1019"/>
      <c r="O3" s="1019"/>
      <c r="P3" s="1019"/>
      <c r="Q3" s="1019"/>
      <c r="R3" s="1019"/>
      <c r="S3" s="1019"/>
    </row>
    <row r="4" spans="1:19">
      <c r="A4" s="1039"/>
      <c r="B4" s="1028"/>
      <c r="C4" s="1040"/>
      <c r="D4" s="1040"/>
      <c r="E4" s="1040"/>
      <c r="F4" s="1040"/>
      <c r="G4" s="1" t="s">
        <v>733</v>
      </c>
      <c r="H4" s="1040"/>
      <c r="I4" s="1040"/>
      <c r="J4" s="1040"/>
      <c r="K4" s="1040"/>
      <c r="L4" s="1040"/>
      <c r="M4" s="1019"/>
      <c r="N4" s="1019"/>
      <c r="O4" s="1019"/>
      <c r="P4" s="1019"/>
      <c r="Q4" s="1019"/>
      <c r="R4" s="1019"/>
      <c r="S4" s="1019"/>
    </row>
    <row r="5" spans="1:19">
      <c r="A5" s="1039"/>
      <c r="B5" s="1021"/>
      <c r="C5" s="1040"/>
      <c r="D5" s="1040"/>
      <c r="E5" s="1040"/>
      <c r="F5" s="1040"/>
      <c r="G5" s="1040"/>
      <c r="H5" s="1040"/>
      <c r="I5" s="1040"/>
      <c r="J5" s="1040"/>
      <c r="K5" s="1040"/>
      <c r="L5" s="1040"/>
      <c r="M5" s="1019"/>
      <c r="N5" s="1019"/>
      <c r="O5" s="1019"/>
      <c r="P5" s="1019"/>
      <c r="Q5" s="1019"/>
      <c r="R5" s="1019"/>
      <c r="S5" s="1019"/>
    </row>
    <row r="6" spans="1:19">
      <c r="A6" s="1039"/>
      <c r="B6" s="1019"/>
      <c r="C6" s="1040"/>
      <c r="D6" s="1040"/>
      <c r="E6" s="1040"/>
      <c r="F6" s="1040"/>
      <c r="G6" s="1040"/>
      <c r="H6" s="1"/>
      <c r="I6" s="1"/>
      <c r="J6" s="1"/>
      <c r="K6" s="1"/>
      <c r="L6" s="1"/>
      <c r="M6" s="1019"/>
      <c r="N6" s="1019"/>
      <c r="O6" s="1019"/>
      <c r="P6" s="1019"/>
      <c r="Q6" s="1019"/>
      <c r="R6" s="1019"/>
      <c r="S6" s="1019"/>
    </row>
    <row r="7" spans="1:19">
      <c r="A7" s="1039"/>
      <c r="B7" s="1019"/>
      <c r="C7" s="1040"/>
      <c r="D7" s="1040"/>
      <c r="E7" s="1040"/>
      <c r="F7" s="1040"/>
      <c r="G7" s="1040"/>
      <c r="H7" s="1040"/>
      <c r="I7" s="1040"/>
      <c r="J7" s="1040"/>
      <c r="K7" s="1040"/>
      <c r="L7" s="1040"/>
      <c r="M7" s="1019"/>
      <c r="N7" s="1019"/>
      <c r="O7" s="1019"/>
      <c r="P7" s="1019"/>
      <c r="Q7" s="1019"/>
      <c r="R7" s="1019"/>
      <c r="S7" s="1019"/>
    </row>
    <row r="8" spans="1:19">
      <c r="A8" s="1039"/>
      <c r="B8" s="1022" t="s">
        <v>693</v>
      </c>
      <c r="C8" s="1042" t="s">
        <v>694</v>
      </c>
      <c r="D8" s="1042" t="s">
        <v>695</v>
      </c>
      <c r="E8" s="1042" t="s">
        <v>696</v>
      </c>
      <c r="F8" s="1042" t="s">
        <v>697</v>
      </c>
      <c r="G8" s="1042" t="s">
        <v>698</v>
      </c>
      <c r="H8" s="1042"/>
      <c r="I8" s="1042" t="s">
        <v>699</v>
      </c>
      <c r="J8" s="1042" t="s">
        <v>700</v>
      </c>
      <c r="K8" s="1042" t="s">
        <v>701</v>
      </c>
      <c r="L8" s="1042"/>
      <c r="M8" s="1022" t="s">
        <v>702</v>
      </c>
      <c r="N8" s="1022" t="s">
        <v>703</v>
      </c>
      <c r="O8" s="1022" t="s">
        <v>704</v>
      </c>
      <c r="P8" s="1019"/>
      <c r="Q8" s="1022" t="s">
        <v>705</v>
      </c>
      <c r="R8" s="1022" t="s">
        <v>706</v>
      </c>
      <c r="S8" s="1022" t="s">
        <v>707</v>
      </c>
    </row>
    <row r="9" spans="1:19">
      <c r="A9" s="1039"/>
      <c r="B9" s="1019"/>
      <c r="C9" s="1040"/>
      <c r="D9" s="1040"/>
      <c r="E9" s="1040"/>
      <c r="F9" s="1040"/>
      <c r="G9" s="1040"/>
      <c r="H9" s="1040"/>
      <c r="I9" s="1040"/>
      <c r="J9" s="1040"/>
      <c r="K9" s="1040"/>
      <c r="L9" s="1040"/>
      <c r="M9" s="1019"/>
      <c r="N9" s="1019"/>
      <c r="O9" s="1019"/>
      <c r="P9" s="1019"/>
      <c r="Q9" s="1019"/>
      <c r="R9" s="1019"/>
      <c r="S9" s="1019"/>
    </row>
    <row r="10" spans="1:19">
      <c r="A10" s="1039"/>
      <c r="B10" s="1019"/>
      <c r="C10" s="1043" t="s">
        <v>708</v>
      </c>
      <c r="D10" s="1043"/>
      <c r="E10" s="1044" t="s">
        <v>709</v>
      </c>
      <c r="F10" s="1043"/>
      <c r="G10" s="1045" t="s">
        <v>710</v>
      </c>
      <c r="H10" s="1045"/>
      <c r="I10" s="1046" t="s">
        <v>711</v>
      </c>
      <c r="J10" s="1043"/>
      <c r="K10" s="1043"/>
      <c r="L10" s="1045"/>
      <c r="M10" s="1026" t="str">
        <f>"FUNCTIONALIZATION 12/31/"&amp;TCOS!L4-1</f>
        <v>FUNCTIONALIZATION 12/31/2021</v>
      </c>
      <c r="N10" s="1023"/>
      <c r="O10" s="1023"/>
      <c r="P10" s="1019"/>
      <c r="Q10" s="1026" t="str">
        <f>"FUNCTIONALIZATION 12/31/"&amp;TCOS!L4</f>
        <v>FUNCTIONALIZATION 12/31/2022</v>
      </c>
      <c r="R10" s="1023"/>
      <c r="S10" s="1023"/>
    </row>
    <row r="11" spans="1:19">
      <c r="A11" s="1039"/>
      <c r="B11" s="1019"/>
      <c r="C11" s="1047"/>
      <c r="D11" s="1047"/>
      <c r="E11" s="1040"/>
      <c r="F11" s="1040"/>
      <c r="G11" s="1045" t="s">
        <v>712</v>
      </c>
      <c r="H11" s="1045"/>
      <c r="I11" s="1047"/>
      <c r="J11" s="1047"/>
      <c r="K11" s="1047"/>
      <c r="L11" s="1045"/>
      <c r="M11" s="1027"/>
      <c r="N11" s="1027"/>
      <c r="O11" s="1027"/>
      <c r="P11" s="1019"/>
      <c r="Q11" s="1027"/>
      <c r="R11" s="1027"/>
      <c r="S11" s="1027"/>
    </row>
    <row r="12" spans="1:19">
      <c r="A12" s="1039"/>
      <c r="B12" s="1019"/>
      <c r="C12" s="1045" t="s">
        <v>713</v>
      </c>
      <c r="D12" s="1045" t="s">
        <v>713</v>
      </c>
      <c r="E12" s="1045" t="s">
        <v>713</v>
      </c>
      <c r="F12" s="1045" t="s">
        <v>713</v>
      </c>
      <c r="G12" s="1045" t="s">
        <v>714</v>
      </c>
      <c r="H12" s="1045"/>
      <c r="I12" s="1040"/>
      <c r="J12" s="1040"/>
      <c r="K12" s="1040"/>
      <c r="L12" s="1045"/>
      <c r="M12" s="1019"/>
      <c r="N12" s="1019"/>
      <c r="O12" s="1019"/>
      <c r="P12" s="1019"/>
      <c r="Q12" s="1019"/>
      <c r="R12" s="1019"/>
      <c r="S12" s="1019"/>
    </row>
    <row r="13" spans="1:19">
      <c r="A13" s="1039"/>
      <c r="B13" s="1022" t="s">
        <v>715</v>
      </c>
      <c r="C13" s="1042" t="str">
        <f>"OF 12-31-"&amp;TCOS!L4-1</f>
        <v>OF 12-31-2021</v>
      </c>
      <c r="D13" s="1042" t="str">
        <f>"OF 12-31-"&amp;TCOS!L4</f>
        <v>OF 12-31-2022</v>
      </c>
      <c r="E13" s="1042" t="str">
        <f>"OF 12-31-"&amp;TCOS!L4-1</f>
        <v>OF 12-31-2021</v>
      </c>
      <c r="F13" s="1042" t="str">
        <f>"OF 12-31-"&amp;TCOS!L4</f>
        <v>OF 12-31-2022</v>
      </c>
      <c r="G13" s="1042" t="s">
        <v>716</v>
      </c>
      <c r="H13" s="1042"/>
      <c r="I13" s="1042" t="s">
        <v>717</v>
      </c>
      <c r="J13" s="1042" t="s">
        <v>718</v>
      </c>
      <c r="K13" s="1042" t="s">
        <v>719</v>
      </c>
      <c r="L13" s="1042"/>
      <c r="M13" s="1022" t="s">
        <v>717</v>
      </c>
      <c r="N13" s="1022" t="s">
        <v>718</v>
      </c>
      <c r="O13" s="1022" t="s">
        <v>719</v>
      </c>
      <c r="P13" s="1019"/>
      <c r="Q13" s="1022" t="s">
        <v>717</v>
      </c>
      <c r="R13" s="1022" t="s">
        <v>718</v>
      </c>
      <c r="S13" s="1022" t="s">
        <v>719</v>
      </c>
    </row>
    <row r="14" spans="1:19">
      <c r="A14" s="1039"/>
      <c r="B14" s="1019"/>
      <c r="C14" s="1040"/>
      <c r="D14" s="1040"/>
      <c r="E14" s="1040"/>
      <c r="F14" s="1040"/>
      <c r="G14" s="1040"/>
      <c r="H14" s="1040"/>
      <c r="I14" s="1040"/>
      <c r="J14" s="1040"/>
      <c r="K14" s="1040"/>
      <c r="L14" s="1040"/>
      <c r="M14" s="1019"/>
      <c r="N14" s="1019"/>
      <c r="O14" s="1019"/>
      <c r="P14" s="1019"/>
      <c r="Q14" s="1019"/>
      <c r="R14" s="1019"/>
      <c r="S14" s="1019"/>
    </row>
    <row r="15" spans="1:19">
      <c r="A15" s="1048">
        <v>1</v>
      </c>
      <c r="B15" s="1034" t="s">
        <v>734</v>
      </c>
      <c r="C15" s="1029"/>
      <c r="D15" s="1029"/>
      <c r="E15" s="1029"/>
      <c r="F15" s="1030"/>
      <c r="G15" s="1029"/>
      <c r="H15" s="1029"/>
      <c r="I15" s="1029"/>
      <c r="J15" s="1029"/>
      <c r="K15" s="1029"/>
      <c r="L15" s="1029"/>
      <c r="M15" s="1029"/>
      <c r="N15" s="1029"/>
      <c r="O15" s="1029"/>
      <c r="P15" s="1029"/>
      <c r="Q15" s="1029"/>
      <c r="R15" s="1029"/>
      <c r="S15" s="1029"/>
    </row>
    <row r="16" spans="1:19">
      <c r="A16" s="1048"/>
      <c r="B16" s="1029"/>
      <c r="C16" s="1029"/>
      <c r="D16" s="1029"/>
      <c r="E16" s="1029"/>
      <c r="F16" s="1029"/>
      <c r="G16" s="1029"/>
      <c r="H16" s="1029"/>
      <c r="I16" s="1029"/>
      <c r="J16" s="1029"/>
      <c r="K16" s="1029"/>
      <c r="L16" s="1029"/>
      <c r="M16" s="1029"/>
      <c r="N16" s="1029"/>
      <c r="O16" s="1029"/>
      <c r="P16" s="1029"/>
      <c r="Q16" s="1029"/>
      <c r="R16" s="1029"/>
      <c r="S16" s="1029"/>
    </row>
    <row r="17" spans="1:19">
      <c r="A17" s="1058">
        <v>2.0099999999999998</v>
      </c>
      <c r="B17" s="834" t="s">
        <v>982</v>
      </c>
      <c r="C17" s="1029">
        <f t="shared" ref="C17:C64" si="0">SUM(M17:O17)</f>
        <v>11932.759999999998</v>
      </c>
      <c r="D17" s="1029">
        <f t="shared" ref="D17:D64" si="1">SUM(Q17:S17)</f>
        <v>18780.04</v>
      </c>
      <c r="E17" s="1029"/>
      <c r="F17" s="1029"/>
      <c r="G17" s="1029">
        <f t="shared" ref="G17:G64" si="2">ROUND(SUM(C17:F17)/2,0)</f>
        <v>15356</v>
      </c>
      <c r="H17" s="1029"/>
      <c r="I17" s="1029">
        <f t="shared" ref="I17:K50" si="3">(M17+Q17)/2</f>
        <v>1</v>
      </c>
      <c r="J17" s="1029">
        <f t="shared" si="3"/>
        <v>7140.42</v>
      </c>
      <c r="K17" s="1029">
        <f t="shared" si="3"/>
        <v>8214.98</v>
      </c>
      <c r="L17" s="1029"/>
      <c r="M17" s="834">
        <v>2</v>
      </c>
      <c r="N17" s="834">
        <v>5302.86</v>
      </c>
      <c r="O17" s="834">
        <v>6627.9</v>
      </c>
      <c r="P17" s="1029"/>
      <c r="Q17" s="834">
        <v>0</v>
      </c>
      <c r="R17" s="834">
        <v>8977.98</v>
      </c>
      <c r="S17" s="834">
        <v>9802.0600000000013</v>
      </c>
    </row>
    <row r="18" spans="1:19">
      <c r="A18" s="1058">
        <f>A17+0.01</f>
        <v>2.0199999999999996</v>
      </c>
      <c r="B18" s="834" t="s">
        <v>983</v>
      </c>
      <c r="C18" s="1029">
        <f t="shared" si="0"/>
        <v>794236.17</v>
      </c>
      <c r="D18" s="1029">
        <f t="shared" si="1"/>
        <v>794236.17</v>
      </c>
      <c r="E18" s="1029"/>
      <c r="F18" s="1029"/>
      <c r="G18" s="1029">
        <f t="shared" si="2"/>
        <v>794236</v>
      </c>
      <c r="H18" s="1029"/>
      <c r="I18" s="1029">
        <f t="shared" si="3"/>
        <v>794236.17</v>
      </c>
      <c r="J18" s="1029">
        <f t="shared" si="3"/>
        <v>0</v>
      </c>
      <c r="K18" s="1029">
        <f t="shared" si="3"/>
        <v>0</v>
      </c>
      <c r="L18" s="1029"/>
      <c r="M18" s="834">
        <v>794236.17</v>
      </c>
      <c r="N18" s="834">
        <v>0</v>
      </c>
      <c r="O18" s="834">
        <v>0</v>
      </c>
      <c r="P18" s="1029"/>
      <c r="Q18" s="834">
        <v>794236.17</v>
      </c>
      <c r="R18" s="834">
        <v>0</v>
      </c>
      <c r="S18" s="834">
        <v>0</v>
      </c>
    </row>
    <row r="19" spans="1:19">
      <c r="A19" s="1058">
        <f t="shared" ref="A19:A75" si="4">A18+0.01</f>
        <v>2.0299999999999994</v>
      </c>
      <c r="B19" s="834" t="s">
        <v>984</v>
      </c>
      <c r="C19" s="1029">
        <f t="shared" si="0"/>
        <v>796340.79</v>
      </c>
      <c r="D19" s="1029">
        <f t="shared" si="1"/>
        <v>966989.69</v>
      </c>
      <c r="E19" s="1029"/>
      <c r="F19" s="1029"/>
      <c r="G19" s="1029">
        <f t="shared" si="2"/>
        <v>881665</v>
      </c>
      <c r="H19" s="1029"/>
      <c r="I19" s="1029">
        <f t="shared" si="3"/>
        <v>278407.31</v>
      </c>
      <c r="J19" s="1029">
        <f t="shared" si="3"/>
        <v>202490.745</v>
      </c>
      <c r="K19" s="1029">
        <f t="shared" si="3"/>
        <v>400767.18499999994</v>
      </c>
      <c r="L19" s="1029"/>
      <c r="M19" s="834">
        <v>215410.44</v>
      </c>
      <c r="N19" s="834">
        <v>195564.46</v>
      </c>
      <c r="O19" s="834">
        <v>385365.88999999996</v>
      </c>
      <c r="P19" s="1029"/>
      <c r="Q19" s="834">
        <v>341404.18</v>
      </c>
      <c r="R19" s="834">
        <v>209417.03000000003</v>
      </c>
      <c r="S19" s="834">
        <v>416168.48</v>
      </c>
    </row>
    <row r="20" spans="1:19">
      <c r="A20" s="1058">
        <f t="shared" si="4"/>
        <v>2.0399999999999991</v>
      </c>
      <c r="B20" s="834" t="s">
        <v>985</v>
      </c>
      <c r="C20" s="1029">
        <f t="shared" si="0"/>
        <v>1151449.55</v>
      </c>
      <c r="D20" s="1029">
        <f t="shared" si="1"/>
        <v>1670043.29</v>
      </c>
      <c r="E20" s="1029"/>
      <c r="F20" s="1029"/>
      <c r="G20" s="1029">
        <f t="shared" si="2"/>
        <v>1410746</v>
      </c>
      <c r="H20" s="1029"/>
      <c r="I20" s="1029">
        <f t="shared" si="3"/>
        <v>0</v>
      </c>
      <c r="J20" s="1029">
        <f t="shared" si="3"/>
        <v>511492.72</v>
      </c>
      <c r="K20" s="1029">
        <f t="shared" si="3"/>
        <v>899253.7</v>
      </c>
      <c r="L20" s="1029"/>
      <c r="M20" s="834">
        <v>0</v>
      </c>
      <c r="N20" s="834">
        <v>283471.57</v>
      </c>
      <c r="O20" s="834">
        <v>867977.98</v>
      </c>
      <c r="P20" s="1029"/>
      <c r="Q20" s="834">
        <v>0</v>
      </c>
      <c r="R20" s="834">
        <v>739513.87</v>
      </c>
      <c r="S20" s="834">
        <v>930529.42</v>
      </c>
    </row>
    <row r="21" spans="1:19">
      <c r="A21" s="1058">
        <f t="shared" si="4"/>
        <v>2.0499999999999989</v>
      </c>
      <c r="B21" s="834" t="s">
        <v>986</v>
      </c>
      <c r="C21" s="1029">
        <f t="shared" si="0"/>
        <v>0.09</v>
      </c>
      <c r="D21" s="1029">
        <f t="shared" si="1"/>
        <v>0.09</v>
      </c>
      <c r="E21" s="1029"/>
      <c r="F21" s="1029"/>
      <c r="G21" s="1029">
        <f t="shared" si="2"/>
        <v>0</v>
      </c>
      <c r="H21" s="1029"/>
      <c r="I21" s="1029">
        <f t="shared" si="3"/>
        <v>0</v>
      </c>
      <c r="J21" s="1029">
        <f t="shared" si="3"/>
        <v>0</v>
      </c>
      <c r="K21" s="1029">
        <f t="shared" si="3"/>
        <v>0.09</v>
      </c>
      <c r="L21" s="1029"/>
      <c r="M21" s="834">
        <v>0</v>
      </c>
      <c r="N21" s="834">
        <v>0</v>
      </c>
      <c r="O21" s="834">
        <v>0.09</v>
      </c>
      <c r="P21" s="1029"/>
      <c r="Q21" s="834">
        <v>0</v>
      </c>
      <c r="R21" s="834">
        <v>0</v>
      </c>
      <c r="S21" s="834">
        <v>0.09</v>
      </c>
    </row>
    <row r="22" spans="1:19">
      <c r="A22" s="1058">
        <f t="shared" si="4"/>
        <v>2.0599999999999987</v>
      </c>
      <c r="B22" s="834" t="s">
        <v>987</v>
      </c>
      <c r="C22" s="1029">
        <f t="shared" si="0"/>
        <v>0</v>
      </c>
      <c r="D22" s="1029">
        <f t="shared" si="1"/>
        <v>0</v>
      </c>
      <c r="E22" s="1029"/>
      <c r="F22" s="1029"/>
      <c r="G22" s="1029">
        <f t="shared" si="2"/>
        <v>0</v>
      </c>
      <c r="H22" s="1029"/>
      <c r="I22" s="1029">
        <f t="shared" si="3"/>
        <v>0</v>
      </c>
      <c r="J22" s="1029">
        <f t="shared" si="3"/>
        <v>0</v>
      </c>
      <c r="K22" s="1029">
        <f t="shared" si="3"/>
        <v>0</v>
      </c>
      <c r="L22" s="1029"/>
      <c r="M22" s="834">
        <v>0</v>
      </c>
      <c r="N22" s="834">
        <v>0</v>
      </c>
      <c r="O22" s="834">
        <v>0</v>
      </c>
      <c r="P22" s="1029"/>
      <c r="Q22" s="834">
        <v>0</v>
      </c>
      <c r="R22" s="834">
        <v>0</v>
      </c>
      <c r="S22" s="834">
        <v>0</v>
      </c>
    </row>
    <row r="23" spans="1:19">
      <c r="A23" s="1058">
        <f t="shared" si="4"/>
        <v>2.0699999999999985</v>
      </c>
      <c r="B23" s="834" t="s">
        <v>988</v>
      </c>
      <c r="C23" s="1029">
        <f t="shared" si="0"/>
        <v>-3377.1</v>
      </c>
      <c r="D23" s="1029">
        <f t="shared" si="1"/>
        <v>19660.330000000002</v>
      </c>
      <c r="E23" s="1029"/>
      <c r="F23" s="1029"/>
      <c r="G23" s="1029">
        <f t="shared" si="2"/>
        <v>8142</v>
      </c>
      <c r="H23" s="1029"/>
      <c r="I23" s="1029">
        <f t="shared" si="3"/>
        <v>0</v>
      </c>
      <c r="J23" s="1029">
        <f t="shared" si="3"/>
        <v>8141.6150000000007</v>
      </c>
      <c r="K23" s="1029">
        <f t="shared" si="3"/>
        <v>0</v>
      </c>
      <c r="L23" s="1029"/>
      <c r="M23" s="834">
        <v>0</v>
      </c>
      <c r="N23" s="834">
        <v>-3377.1</v>
      </c>
      <c r="O23" s="834">
        <v>0</v>
      </c>
      <c r="P23" s="1029"/>
      <c r="Q23" s="834">
        <v>0</v>
      </c>
      <c r="R23" s="834">
        <v>19660.330000000002</v>
      </c>
      <c r="S23" s="834">
        <v>0</v>
      </c>
    </row>
    <row r="24" spans="1:19">
      <c r="A24" s="1058">
        <f t="shared" si="4"/>
        <v>2.0799999999999983</v>
      </c>
      <c r="B24" s="834" t="s">
        <v>989</v>
      </c>
      <c r="C24" s="1029">
        <f t="shared" si="0"/>
        <v>117537.38</v>
      </c>
      <c r="D24" s="1029">
        <f t="shared" si="1"/>
        <v>123403.87000000001</v>
      </c>
      <c r="E24" s="1029"/>
      <c r="F24" s="1029"/>
      <c r="G24" s="1029">
        <f t="shared" si="2"/>
        <v>120471</v>
      </c>
      <c r="H24" s="1029"/>
      <c r="I24" s="1029">
        <f t="shared" si="3"/>
        <v>95291.145000000004</v>
      </c>
      <c r="J24" s="1029">
        <f t="shared" si="3"/>
        <v>-0.01</v>
      </c>
      <c r="K24" s="1029">
        <f t="shared" si="3"/>
        <v>25179.489999999998</v>
      </c>
      <c r="L24" s="1029"/>
      <c r="M24" s="834">
        <v>93062.13</v>
      </c>
      <c r="N24" s="834">
        <v>-0.01</v>
      </c>
      <c r="O24" s="834">
        <v>24475.26</v>
      </c>
      <c r="P24" s="1029"/>
      <c r="Q24" s="834">
        <v>97520.16</v>
      </c>
      <c r="R24" s="834">
        <v>-0.01</v>
      </c>
      <c r="S24" s="834">
        <v>25883.72</v>
      </c>
    </row>
    <row r="25" spans="1:19">
      <c r="A25" s="1058">
        <f t="shared" si="4"/>
        <v>2.0899999999999981</v>
      </c>
      <c r="B25" s="834" t="s">
        <v>990</v>
      </c>
      <c r="C25" s="1029">
        <f t="shared" si="0"/>
        <v>0</v>
      </c>
      <c r="D25" s="1029">
        <f t="shared" si="1"/>
        <v>0</v>
      </c>
      <c r="E25" s="1029"/>
      <c r="F25" s="1029"/>
      <c r="G25" s="1029">
        <f t="shared" si="2"/>
        <v>0</v>
      </c>
      <c r="H25" s="1029"/>
      <c r="I25" s="1029">
        <f t="shared" si="3"/>
        <v>0</v>
      </c>
      <c r="J25" s="1029">
        <f t="shared" si="3"/>
        <v>0</v>
      </c>
      <c r="K25" s="1029">
        <f t="shared" si="3"/>
        <v>0</v>
      </c>
      <c r="L25" s="1029"/>
      <c r="M25" s="834">
        <v>0</v>
      </c>
      <c r="N25" s="834">
        <v>0</v>
      </c>
      <c r="O25" s="834">
        <v>0</v>
      </c>
      <c r="P25" s="1029"/>
      <c r="Q25" s="834">
        <v>0</v>
      </c>
      <c r="R25" s="834">
        <v>0</v>
      </c>
      <c r="S25" s="834">
        <v>0</v>
      </c>
    </row>
    <row r="26" spans="1:19">
      <c r="A26" s="1058">
        <f t="shared" si="4"/>
        <v>2.0999999999999979</v>
      </c>
      <c r="B26" s="834" t="s">
        <v>991</v>
      </c>
      <c r="C26" s="1029">
        <f t="shared" si="0"/>
        <v>33441.11</v>
      </c>
      <c r="D26" s="1029">
        <f t="shared" si="1"/>
        <v>27511.79</v>
      </c>
      <c r="E26" s="1029"/>
      <c r="F26" s="1029"/>
      <c r="G26" s="1029">
        <f t="shared" si="2"/>
        <v>30476</v>
      </c>
      <c r="H26" s="1029"/>
      <c r="I26" s="1029">
        <f t="shared" si="3"/>
        <v>0</v>
      </c>
      <c r="J26" s="1029">
        <f t="shared" si="3"/>
        <v>0</v>
      </c>
      <c r="K26" s="1029">
        <f t="shared" si="3"/>
        <v>30476.45</v>
      </c>
      <c r="L26" s="1029"/>
      <c r="M26" s="834">
        <v>0</v>
      </c>
      <c r="N26" s="834">
        <v>0</v>
      </c>
      <c r="O26" s="834">
        <v>33441.11</v>
      </c>
      <c r="P26" s="1029"/>
      <c r="Q26" s="834">
        <v>0</v>
      </c>
      <c r="R26" s="834">
        <v>0</v>
      </c>
      <c r="S26" s="834">
        <v>27511.79</v>
      </c>
    </row>
    <row r="27" spans="1:19">
      <c r="A27" s="1058">
        <f t="shared" si="4"/>
        <v>2.1099999999999977</v>
      </c>
      <c r="B27" s="834" t="s">
        <v>992</v>
      </c>
      <c r="C27" s="1029">
        <f t="shared" si="0"/>
        <v>-40809.089999999997</v>
      </c>
      <c r="D27" s="1029">
        <f t="shared" si="1"/>
        <v>-321226.28999999998</v>
      </c>
      <c r="E27" s="1029"/>
      <c r="F27" s="1029"/>
      <c r="G27" s="1029">
        <f t="shared" si="2"/>
        <v>-181018</v>
      </c>
      <c r="H27" s="1029"/>
      <c r="I27" s="1029">
        <f t="shared" si="3"/>
        <v>-181017.69</v>
      </c>
      <c r="J27" s="1029">
        <f t="shared" si="3"/>
        <v>0</v>
      </c>
      <c r="K27" s="1029">
        <f t="shared" si="3"/>
        <v>0</v>
      </c>
      <c r="L27" s="1029"/>
      <c r="M27" s="834">
        <v>-40809.089999999997</v>
      </c>
      <c r="N27" s="834">
        <v>0</v>
      </c>
      <c r="O27" s="834">
        <v>0</v>
      </c>
      <c r="P27" s="1029"/>
      <c r="Q27" s="834">
        <v>-321226.28999999998</v>
      </c>
      <c r="R27" s="834">
        <v>0</v>
      </c>
      <c r="S27" s="834">
        <v>0</v>
      </c>
    </row>
    <row r="28" spans="1:19">
      <c r="A28" s="1058">
        <f t="shared" si="4"/>
        <v>2.1199999999999974</v>
      </c>
      <c r="B28" s="834" t="s">
        <v>1124</v>
      </c>
      <c r="C28" s="1029">
        <f t="shared" ref="C28" si="5">SUM(M28:O28)</f>
        <v>-39499.980000000003</v>
      </c>
      <c r="D28" s="1029">
        <f t="shared" ref="D28" si="6">SUM(Q28:S28)</f>
        <v>-47284.42</v>
      </c>
      <c r="E28" s="1029"/>
      <c r="F28" s="1029"/>
      <c r="G28" s="1029">
        <f t="shared" ref="G28" si="7">ROUND(SUM(C28:F28)/2,0)</f>
        <v>-43392</v>
      </c>
      <c r="H28" s="1029"/>
      <c r="I28" s="1029">
        <f t="shared" ref="I28" si="8">(M28+Q28)/2</f>
        <v>-19865.805</v>
      </c>
      <c r="J28" s="1029">
        <f t="shared" ref="J28" si="9">(N28+R28)/2</f>
        <v>-2487.9499999999998</v>
      </c>
      <c r="K28" s="1029">
        <f t="shared" ref="K28" si="10">(O28+S28)/2</f>
        <v>-21038.445</v>
      </c>
      <c r="L28" s="1029"/>
      <c r="M28" s="834">
        <v>-17404.79</v>
      </c>
      <c r="N28" s="834">
        <v>-2487.56</v>
      </c>
      <c r="O28" s="834">
        <v>-19607.63</v>
      </c>
      <c r="P28" s="1029"/>
      <c r="Q28" s="834">
        <v>-22326.82</v>
      </c>
      <c r="R28" s="834">
        <v>-2488.34</v>
      </c>
      <c r="S28" s="834">
        <v>-22469.26</v>
      </c>
    </row>
    <row r="29" spans="1:19">
      <c r="A29" s="1058">
        <f t="shared" si="4"/>
        <v>2.1299999999999972</v>
      </c>
      <c r="B29" s="834" t="s">
        <v>993</v>
      </c>
      <c r="C29" s="1029">
        <f t="shared" si="0"/>
        <v>-2178.96</v>
      </c>
      <c r="D29" s="1029">
        <f t="shared" si="1"/>
        <v>-3377.22</v>
      </c>
      <c r="E29" s="1029"/>
      <c r="F29" s="1029"/>
      <c r="G29" s="1029">
        <f t="shared" si="2"/>
        <v>-2778</v>
      </c>
      <c r="H29" s="1029"/>
      <c r="I29" s="1029">
        <f t="shared" si="3"/>
        <v>-2778.09</v>
      </c>
      <c r="J29" s="1029">
        <f t="shared" si="3"/>
        <v>0</v>
      </c>
      <c r="K29" s="1029">
        <f t="shared" si="3"/>
        <v>0</v>
      </c>
      <c r="L29" s="1029"/>
      <c r="M29" s="834">
        <v>-2178.96</v>
      </c>
      <c r="N29" s="834">
        <v>0</v>
      </c>
      <c r="O29" s="834">
        <v>0</v>
      </c>
      <c r="P29" s="1029"/>
      <c r="Q29" s="834">
        <v>-3377.22</v>
      </c>
      <c r="R29" s="834">
        <v>0</v>
      </c>
      <c r="S29" s="834">
        <v>0</v>
      </c>
    </row>
    <row r="30" spans="1:19">
      <c r="A30" s="1058">
        <f t="shared" si="4"/>
        <v>2.139999999999997</v>
      </c>
      <c r="B30" s="834" t="s">
        <v>994</v>
      </c>
      <c r="C30" s="1029">
        <f t="shared" si="0"/>
        <v>-0.21</v>
      </c>
      <c r="D30" s="1029">
        <f t="shared" si="1"/>
        <v>-0.21</v>
      </c>
      <c r="E30" s="1029"/>
      <c r="F30" s="1029"/>
      <c r="G30" s="1029">
        <f t="shared" si="2"/>
        <v>0</v>
      </c>
      <c r="H30" s="1029"/>
      <c r="I30" s="1029">
        <f t="shared" si="3"/>
        <v>-0.21</v>
      </c>
      <c r="J30" s="1029">
        <f t="shared" si="3"/>
        <v>0</v>
      </c>
      <c r="K30" s="1029">
        <f t="shared" si="3"/>
        <v>0</v>
      </c>
      <c r="L30" s="1029"/>
      <c r="M30" s="834">
        <v>-0.21</v>
      </c>
      <c r="N30" s="834">
        <v>0</v>
      </c>
      <c r="O30" s="834">
        <v>0</v>
      </c>
      <c r="P30" s="1029"/>
      <c r="Q30" s="834">
        <v>-0.21</v>
      </c>
      <c r="R30" s="834">
        <v>0</v>
      </c>
      <c r="S30" s="834">
        <v>0</v>
      </c>
    </row>
    <row r="31" spans="1:19">
      <c r="A31" s="1058">
        <f t="shared" si="4"/>
        <v>2.1499999999999968</v>
      </c>
      <c r="B31" s="834" t="s">
        <v>1125</v>
      </c>
      <c r="C31" s="1029">
        <f t="shared" si="0"/>
        <v>-0.01</v>
      </c>
      <c r="D31" s="1029">
        <f t="shared" si="1"/>
        <v>-0.01</v>
      </c>
      <c r="E31" s="1029"/>
      <c r="F31" s="1029"/>
      <c r="G31" s="1029">
        <f t="shared" si="2"/>
        <v>0</v>
      </c>
      <c r="H31" s="1029"/>
      <c r="I31" s="1029">
        <f t="shared" si="3"/>
        <v>0</v>
      </c>
      <c r="J31" s="1029">
        <f t="shared" si="3"/>
        <v>0</v>
      </c>
      <c r="K31" s="1029">
        <f t="shared" si="3"/>
        <v>-0.01</v>
      </c>
      <c r="L31" s="1029"/>
      <c r="M31" s="834">
        <v>0</v>
      </c>
      <c r="N31" s="834">
        <v>0</v>
      </c>
      <c r="O31" s="834">
        <v>-0.01</v>
      </c>
      <c r="P31" s="1029"/>
      <c r="Q31" s="834">
        <v>0</v>
      </c>
      <c r="R31" s="834">
        <v>0</v>
      </c>
      <c r="S31" s="834">
        <v>-0.01</v>
      </c>
    </row>
    <row r="32" spans="1:19">
      <c r="A32" s="1058">
        <f t="shared" si="4"/>
        <v>2.1599999999999966</v>
      </c>
      <c r="B32" s="834" t="s">
        <v>995</v>
      </c>
      <c r="C32" s="1029">
        <f t="shared" si="0"/>
        <v>141841.07999999999</v>
      </c>
      <c r="D32" s="1029">
        <f t="shared" si="1"/>
        <v>508377.82</v>
      </c>
      <c r="E32" s="1029"/>
      <c r="F32" s="1029"/>
      <c r="G32" s="1029">
        <f t="shared" si="2"/>
        <v>325109</v>
      </c>
      <c r="H32" s="1029"/>
      <c r="I32" s="1029">
        <f t="shared" si="3"/>
        <v>205584.77499999999</v>
      </c>
      <c r="J32" s="1029">
        <f t="shared" si="3"/>
        <v>664.52</v>
      </c>
      <c r="K32" s="1029">
        <f t="shared" si="3"/>
        <v>118860.155</v>
      </c>
      <c r="L32" s="1029"/>
      <c r="M32" s="834">
        <v>0</v>
      </c>
      <c r="N32" s="834">
        <v>1328.96</v>
      </c>
      <c r="O32" s="834">
        <v>140512.12</v>
      </c>
      <c r="P32" s="1029"/>
      <c r="Q32" s="834">
        <v>411169.55</v>
      </c>
      <c r="R32" s="834">
        <v>0.08</v>
      </c>
      <c r="S32" s="834">
        <v>97208.19</v>
      </c>
    </row>
    <row r="33" spans="1:19">
      <c r="A33" s="1058">
        <f t="shared" si="4"/>
        <v>2.1699999999999964</v>
      </c>
      <c r="B33" s="834" t="s">
        <v>996</v>
      </c>
      <c r="C33" s="1029">
        <f t="shared" si="0"/>
        <v>47142.65</v>
      </c>
      <c r="D33" s="1029">
        <f t="shared" si="1"/>
        <v>77463.570000000007</v>
      </c>
      <c r="E33" s="1029"/>
      <c r="F33" s="1029"/>
      <c r="G33" s="1029">
        <f t="shared" si="2"/>
        <v>62303</v>
      </c>
      <c r="H33" s="1029"/>
      <c r="I33" s="1029">
        <f t="shared" si="3"/>
        <v>0</v>
      </c>
      <c r="J33" s="1029">
        <f t="shared" si="3"/>
        <v>-1246.83</v>
      </c>
      <c r="K33" s="1029">
        <f t="shared" si="3"/>
        <v>63549.94</v>
      </c>
      <c r="L33" s="1029"/>
      <c r="M33" s="834">
        <v>0</v>
      </c>
      <c r="N33" s="834">
        <v>-2493.6</v>
      </c>
      <c r="O33" s="834">
        <v>49636.25</v>
      </c>
      <c r="P33" s="1029"/>
      <c r="Q33" s="834">
        <v>0</v>
      </c>
      <c r="R33" s="834">
        <v>-0.06</v>
      </c>
      <c r="S33" s="834">
        <v>77463.63</v>
      </c>
    </row>
    <row r="34" spans="1:19">
      <c r="A34" s="1058">
        <f t="shared" si="4"/>
        <v>2.1799999999999962</v>
      </c>
      <c r="B34" s="834" t="s">
        <v>990</v>
      </c>
      <c r="C34" s="1029">
        <f t="shared" si="0"/>
        <v>-0.01</v>
      </c>
      <c r="D34" s="1029">
        <f t="shared" si="1"/>
        <v>-0.01</v>
      </c>
      <c r="E34" s="1029"/>
      <c r="F34" s="1029"/>
      <c r="G34" s="1029">
        <f t="shared" si="2"/>
        <v>0</v>
      </c>
      <c r="H34" s="1029"/>
      <c r="I34" s="1029">
        <f t="shared" si="3"/>
        <v>0</v>
      </c>
      <c r="J34" s="1029">
        <f t="shared" si="3"/>
        <v>0</v>
      </c>
      <c r="K34" s="1029">
        <f t="shared" si="3"/>
        <v>-0.01</v>
      </c>
      <c r="L34" s="1029"/>
      <c r="M34" s="834">
        <v>0</v>
      </c>
      <c r="N34" s="834">
        <v>0</v>
      </c>
      <c r="O34" s="834">
        <v>-0.01</v>
      </c>
      <c r="P34" s="1029"/>
      <c r="Q34" s="834">
        <v>0</v>
      </c>
      <c r="R34" s="834">
        <v>0</v>
      </c>
      <c r="S34" s="834">
        <v>-0.01</v>
      </c>
    </row>
    <row r="35" spans="1:19">
      <c r="A35" s="1058">
        <f t="shared" si="4"/>
        <v>2.1899999999999959</v>
      </c>
      <c r="B35" s="834" t="s">
        <v>998</v>
      </c>
      <c r="C35" s="1029">
        <f t="shared" si="0"/>
        <v>0</v>
      </c>
      <c r="D35" s="1029">
        <f t="shared" si="1"/>
        <v>0</v>
      </c>
      <c r="E35" s="1029"/>
      <c r="F35" s="1029"/>
      <c r="G35" s="1029">
        <f t="shared" si="2"/>
        <v>0</v>
      </c>
      <c r="H35" s="1029"/>
      <c r="I35" s="1029">
        <f t="shared" si="3"/>
        <v>0</v>
      </c>
      <c r="J35" s="1029">
        <f t="shared" si="3"/>
        <v>0</v>
      </c>
      <c r="K35" s="1029">
        <f t="shared" si="3"/>
        <v>0</v>
      </c>
      <c r="L35" s="1029"/>
      <c r="M35" s="834">
        <v>0</v>
      </c>
      <c r="N35" s="834">
        <v>0</v>
      </c>
      <c r="O35" s="834">
        <v>0</v>
      </c>
      <c r="P35" s="1029"/>
      <c r="Q35" s="834">
        <v>0</v>
      </c>
      <c r="R35" s="834">
        <v>0</v>
      </c>
      <c r="S35" s="834">
        <v>0</v>
      </c>
    </row>
    <row r="36" spans="1:19">
      <c r="A36" s="1058">
        <f t="shared" si="4"/>
        <v>2.1999999999999957</v>
      </c>
      <c r="B36" s="834" t="s">
        <v>997</v>
      </c>
      <c r="C36" s="1029">
        <f t="shared" si="0"/>
        <v>0</v>
      </c>
      <c r="D36" s="1029">
        <f t="shared" si="1"/>
        <v>0</v>
      </c>
      <c r="E36" s="1029"/>
      <c r="F36" s="1029"/>
      <c r="G36" s="1029">
        <f t="shared" si="2"/>
        <v>0</v>
      </c>
      <c r="H36" s="1029"/>
      <c r="I36" s="1029">
        <f t="shared" si="3"/>
        <v>0</v>
      </c>
      <c r="J36" s="1029">
        <f t="shared" si="3"/>
        <v>0</v>
      </c>
      <c r="K36" s="1029">
        <f t="shared" si="3"/>
        <v>0</v>
      </c>
      <c r="L36" s="1029"/>
      <c r="M36" s="834">
        <v>0</v>
      </c>
      <c r="N36" s="834">
        <v>0</v>
      </c>
      <c r="O36" s="834">
        <v>0</v>
      </c>
      <c r="P36" s="1029"/>
      <c r="Q36" s="834">
        <v>0</v>
      </c>
      <c r="R36" s="834">
        <v>0</v>
      </c>
      <c r="S36" s="834">
        <v>0</v>
      </c>
    </row>
    <row r="37" spans="1:19">
      <c r="A37" s="1058">
        <f t="shared" si="4"/>
        <v>2.2099999999999955</v>
      </c>
      <c r="B37" s="834" t="s">
        <v>1126</v>
      </c>
      <c r="C37" s="1029">
        <f t="shared" ref="C37" si="11">SUM(M37:O37)</f>
        <v>18953.080000000002</v>
      </c>
      <c r="D37" s="1029">
        <f t="shared" ref="D37" si="12">SUM(Q37:S37)</f>
        <v>0.22</v>
      </c>
      <c r="E37" s="1029"/>
      <c r="F37" s="1029"/>
      <c r="G37" s="1029">
        <f t="shared" ref="G37" si="13">ROUND(SUM(C37:F37)/2,0)</f>
        <v>9477</v>
      </c>
      <c r="H37" s="1029"/>
      <c r="I37" s="1029">
        <f t="shared" ref="I37" si="14">(M37+Q37)/2</f>
        <v>0</v>
      </c>
      <c r="J37" s="1029">
        <f t="shared" ref="J37" si="15">(N37+R37)/2</f>
        <v>0</v>
      </c>
      <c r="K37" s="1029">
        <f t="shared" ref="K37" si="16">(O37+S37)/2</f>
        <v>9476.6500000000015</v>
      </c>
      <c r="L37" s="1029"/>
      <c r="M37" s="834">
        <v>0</v>
      </c>
      <c r="N37" s="834">
        <v>0</v>
      </c>
      <c r="O37" s="834">
        <v>18953.080000000002</v>
      </c>
      <c r="P37" s="1029"/>
      <c r="Q37" s="834">
        <v>0</v>
      </c>
      <c r="R37" s="834">
        <v>0</v>
      </c>
      <c r="S37" s="834">
        <v>0.22</v>
      </c>
    </row>
    <row r="38" spans="1:19">
      <c r="A38" s="1058">
        <f t="shared" si="4"/>
        <v>2.2199999999999953</v>
      </c>
      <c r="B38" s="834" t="s">
        <v>1292</v>
      </c>
      <c r="C38" s="1029">
        <f t="shared" si="0"/>
        <v>0</v>
      </c>
      <c r="D38" s="1029">
        <f t="shared" si="1"/>
        <v>-0.04</v>
      </c>
      <c r="E38" s="1029"/>
      <c r="F38" s="1029"/>
      <c r="G38" s="1029">
        <f t="shared" si="2"/>
        <v>0</v>
      </c>
      <c r="H38" s="1029"/>
      <c r="I38" s="1029">
        <f t="shared" si="3"/>
        <v>0</v>
      </c>
      <c r="J38" s="1029">
        <f t="shared" si="3"/>
        <v>0</v>
      </c>
      <c r="K38" s="1029">
        <f t="shared" si="3"/>
        <v>-0.02</v>
      </c>
      <c r="L38" s="1029"/>
      <c r="M38" s="834">
        <v>0</v>
      </c>
      <c r="N38" s="834">
        <v>0</v>
      </c>
      <c r="O38" s="834">
        <v>0</v>
      </c>
      <c r="P38" s="1029"/>
      <c r="Q38" s="834">
        <v>0</v>
      </c>
      <c r="R38" s="834">
        <v>0</v>
      </c>
      <c r="S38" s="834">
        <v>-0.04</v>
      </c>
    </row>
    <row r="39" spans="1:19">
      <c r="A39" s="1058">
        <f t="shared" si="4"/>
        <v>2.2299999999999951</v>
      </c>
      <c r="B39" s="834" t="s">
        <v>999</v>
      </c>
      <c r="C39" s="1029">
        <f t="shared" si="0"/>
        <v>105428.07</v>
      </c>
      <c r="D39" s="1029">
        <f t="shared" si="1"/>
        <v>0.02</v>
      </c>
      <c r="E39" s="1029"/>
      <c r="F39" s="1029"/>
      <c r="G39" s="1029">
        <f t="shared" si="2"/>
        <v>52714</v>
      </c>
      <c r="H39" s="1029"/>
      <c r="I39" s="1029">
        <f t="shared" si="3"/>
        <v>52714.045000000006</v>
      </c>
      <c r="J39" s="1029">
        <f t="shared" si="3"/>
        <v>0</v>
      </c>
      <c r="K39" s="1029">
        <f t="shared" si="3"/>
        <v>0</v>
      </c>
      <c r="L39" s="1029"/>
      <c r="M39" s="834">
        <v>105428.07</v>
      </c>
      <c r="N39" s="834">
        <v>0</v>
      </c>
      <c r="O39" s="834">
        <v>0</v>
      </c>
      <c r="P39" s="1029"/>
      <c r="Q39" s="834">
        <v>0.02</v>
      </c>
      <c r="R39" s="834">
        <v>0</v>
      </c>
      <c r="S39" s="834">
        <v>0</v>
      </c>
    </row>
    <row r="40" spans="1:19">
      <c r="A40" s="1058">
        <f t="shared" si="4"/>
        <v>2.2399999999999949</v>
      </c>
      <c r="B40" s="834" t="s">
        <v>1000</v>
      </c>
      <c r="C40" s="1029">
        <f t="shared" si="0"/>
        <v>-0.28999999999999998</v>
      </c>
      <c r="D40" s="1029">
        <f t="shared" si="1"/>
        <v>-0.28999999999999998</v>
      </c>
      <c r="E40" s="1029"/>
      <c r="F40" s="1029"/>
      <c r="G40" s="1029">
        <f t="shared" si="2"/>
        <v>0</v>
      </c>
      <c r="H40" s="1029"/>
      <c r="I40" s="1029">
        <f t="shared" si="3"/>
        <v>-0.28999999999999998</v>
      </c>
      <c r="J40" s="1029">
        <f t="shared" si="3"/>
        <v>0</v>
      </c>
      <c r="K40" s="1029">
        <f t="shared" si="3"/>
        <v>0</v>
      </c>
      <c r="L40" s="1029"/>
      <c r="M40" s="834">
        <v>-0.28999999999999998</v>
      </c>
      <c r="N40" s="834">
        <v>0</v>
      </c>
      <c r="O40" s="834">
        <v>0</v>
      </c>
      <c r="P40" s="1029"/>
      <c r="Q40" s="834">
        <v>-0.28999999999999998</v>
      </c>
      <c r="R40" s="834">
        <v>0</v>
      </c>
      <c r="S40" s="834">
        <v>0</v>
      </c>
    </row>
    <row r="41" spans="1:19">
      <c r="A41" s="1058">
        <f t="shared" si="4"/>
        <v>2.2499999999999947</v>
      </c>
      <c r="B41" s="834" t="s">
        <v>1001</v>
      </c>
      <c r="C41" s="1029">
        <f t="shared" si="0"/>
        <v>0</v>
      </c>
      <c r="D41" s="1029">
        <f t="shared" si="1"/>
        <v>0</v>
      </c>
      <c r="E41" s="1029"/>
      <c r="F41" s="1029"/>
      <c r="G41" s="1029">
        <f t="shared" si="2"/>
        <v>0</v>
      </c>
      <c r="H41" s="1029"/>
      <c r="I41" s="1029">
        <f t="shared" si="3"/>
        <v>0</v>
      </c>
      <c r="J41" s="1029">
        <f t="shared" si="3"/>
        <v>0</v>
      </c>
      <c r="K41" s="1029">
        <f t="shared" si="3"/>
        <v>0</v>
      </c>
      <c r="L41" s="1029"/>
      <c r="M41" s="834">
        <v>0</v>
      </c>
      <c r="N41" s="834">
        <v>0</v>
      </c>
      <c r="O41" s="834">
        <v>0</v>
      </c>
      <c r="P41" s="1029"/>
      <c r="Q41" s="834">
        <v>0</v>
      </c>
      <c r="R41" s="834">
        <v>0</v>
      </c>
      <c r="S41" s="834">
        <v>0</v>
      </c>
    </row>
    <row r="42" spans="1:19">
      <c r="A42" s="1058">
        <f t="shared" si="4"/>
        <v>2.2599999999999945</v>
      </c>
      <c r="B42" s="834" t="s">
        <v>1002</v>
      </c>
      <c r="C42" s="1029">
        <f t="shared" si="0"/>
        <v>0</v>
      </c>
      <c r="D42" s="1029">
        <f t="shared" si="1"/>
        <v>0</v>
      </c>
      <c r="E42" s="1029"/>
      <c r="F42" s="1029"/>
      <c r="G42" s="1029">
        <f t="shared" si="2"/>
        <v>0</v>
      </c>
      <c r="H42" s="1029"/>
      <c r="I42" s="1029">
        <f t="shared" si="3"/>
        <v>0</v>
      </c>
      <c r="J42" s="1029">
        <f t="shared" si="3"/>
        <v>0</v>
      </c>
      <c r="K42" s="1029">
        <f t="shared" si="3"/>
        <v>0</v>
      </c>
      <c r="L42" s="1029"/>
      <c r="M42" s="834">
        <v>0</v>
      </c>
      <c r="N42" s="834">
        <v>0</v>
      </c>
      <c r="O42" s="834">
        <v>0</v>
      </c>
      <c r="P42" s="1029"/>
      <c r="Q42" s="834">
        <v>0</v>
      </c>
      <c r="R42" s="834">
        <v>0</v>
      </c>
      <c r="S42" s="834">
        <v>0</v>
      </c>
    </row>
    <row r="43" spans="1:19">
      <c r="A43" s="1058">
        <f t="shared" si="4"/>
        <v>2.2699999999999942</v>
      </c>
      <c r="B43" s="834" t="s">
        <v>1003</v>
      </c>
      <c r="C43" s="1029">
        <f t="shared" si="0"/>
        <v>31143.67</v>
      </c>
      <c r="D43" s="1029">
        <f t="shared" si="1"/>
        <v>33717.21</v>
      </c>
      <c r="E43" s="1029"/>
      <c r="F43" s="1029"/>
      <c r="G43" s="1029">
        <f t="shared" si="2"/>
        <v>32430</v>
      </c>
      <c r="H43" s="1029"/>
      <c r="I43" s="1029">
        <f t="shared" si="3"/>
        <v>0</v>
      </c>
      <c r="J43" s="1029">
        <f t="shared" si="3"/>
        <v>19.349999999999998</v>
      </c>
      <c r="K43" s="1029">
        <f t="shared" si="3"/>
        <v>32411.089999999997</v>
      </c>
      <c r="L43" s="1029"/>
      <c r="M43" s="834">
        <v>0</v>
      </c>
      <c r="N43" s="834">
        <v>5.55</v>
      </c>
      <c r="O43" s="834">
        <v>31138.12</v>
      </c>
      <c r="P43" s="1029"/>
      <c r="Q43" s="834">
        <v>0</v>
      </c>
      <c r="R43" s="834">
        <v>33.15</v>
      </c>
      <c r="S43" s="834">
        <v>33684.06</v>
      </c>
    </row>
    <row r="44" spans="1:19">
      <c r="A44" s="1058">
        <f t="shared" si="4"/>
        <v>2.279999999999994</v>
      </c>
      <c r="B44" s="834" t="s">
        <v>1004</v>
      </c>
      <c r="C44" s="1029">
        <f t="shared" si="0"/>
        <v>4780.95</v>
      </c>
      <c r="D44" s="1029">
        <f t="shared" si="1"/>
        <v>4780.95</v>
      </c>
      <c r="E44" s="1029"/>
      <c r="F44" s="1029"/>
      <c r="G44" s="1029">
        <f t="shared" si="2"/>
        <v>4781</v>
      </c>
      <c r="H44" s="1029"/>
      <c r="I44" s="1029">
        <f t="shared" si="3"/>
        <v>4780.95</v>
      </c>
      <c r="J44" s="1029">
        <f t="shared" si="3"/>
        <v>0</v>
      </c>
      <c r="K44" s="1029">
        <f t="shared" si="3"/>
        <v>0</v>
      </c>
      <c r="L44" s="1029"/>
      <c r="M44" s="834">
        <v>4780.95</v>
      </c>
      <c r="N44" s="834">
        <v>0</v>
      </c>
      <c r="O44" s="834">
        <v>0</v>
      </c>
      <c r="P44" s="1029"/>
      <c r="Q44" s="834">
        <v>4780.95</v>
      </c>
      <c r="R44" s="834">
        <v>0</v>
      </c>
      <c r="S44" s="834">
        <v>0</v>
      </c>
    </row>
    <row r="45" spans="1:19">
      <c r="A45" s="1058">
        <f t="shared" si="4"/>
        <v>2.2899999999999938</v>
      </c>
      <c r="B45" s="834" t="s">
        <v>1005</v>
      </c>
      <c r="C45" s="1029">
        <f t="shared" si="0"/>
        <v>5976.45</v>
      </c>
      <c r="D45" s="1029">
        <f t="shared" si="1"/>
        <v>1195.0899999999999</v>
      </c>
      <c r="E45" s="1029"/>
      <c r="F45" s="1029"/>
      <c r="G45" s="1029">
        <f t="shared" si="2"/>
        <v>3586</v>
      </c>
      <c r="H45" s="1029"/>
      <c r="I45" s="1029">
        <f t="shared" si="3"/>
        <v>3585.77</v>
      </c>
      <c r="J45" s="1029">
        <f t="shared" si="3"/>
        <v>0</v>
      </c>
      <c r="K45" s="1029">
        <f t="shared" si="3"/>
        <v>0</v>
      </c>
      <c r="L45" s="1029"/>
      <c r="M45" s="834">
        <v>5976.45</v>
      </c>
      <c r="N45" s="834">
        <v>0</v>
      </c>
      <c r="O45" s="834">
        <v>0</v>
      </c>
      <c r="P45" s="1029"/>
      <c r="Q45" s="834">
        <v>1195.0899999999999</v>
      </c>
      <c r="R45" s="834">
        <v>0</v>
      </c>
      <c r="S45" s="834">
        <v>0</v>
      </c>
    </row>
    <row r="46" spans="1:19">
      <c r="A46" s="1058">
        <f t="shared" si="4"/>
        <v>2.2999999999999936</v>
      </c>
      <c r="B46" s="834" t="s">
        <v>1006</v>
      </c>
      <c r="C46" s="1029">
        <f t="shared" si="0"/>
        <v>744945.34</v>
      </c>
      <c r="D46" s="1029">
        <f t="shared" si="1"/>
        <v>1035696.5</v>
      </c>
      <c r="E46" s="1029"/>
      <c r="F46" s="1029"/>
      <c r="G46" s="1029">
        <f t="shared" si="2"/>
        <v>890321</v>
      </c>
      <c r="H46" s="1029"/>
      <c r="I46" s="1029">
        <f t="shared" si="3"/>
        <v>890320.91999999993</v>
      </c>
      <c r="J46" s="1029">
        <f t="shared" si="3"/>
        <v>0</v>
      </c>
      <c r="K46" s="1029">
        <f t="shared" si="3"/>
        <v>0</v>
      </c>
      <c r="L46" s="1029"/>
      <c r="M46" s="834">
        <v>744945.34</v>
      </c>
      <c r="N46" s="834">
        <v>0</v>
      </c>
      <c r="O46" s="834">
        <v>0</v>
      </c>
      <c r="P46" s="1029"/>
      <c r="Q46" s="834">
        <v>1035696.5</v>
      </c>
      <c r="R46" s="834">
        <v>0</v>
      </c>
      <c r="S46" s="834">
        <v>0</v>
      </c>
    </row>
    <row r="47" spans="1:19">
      <c r="A47" s="1058">
        <f t="shared" si="4"/>
        <v>2.3099999999999934</v>
      </c>
      <c r="B47" s="834" t="s">
        <v>1007</v>
      </c>
      <c r="C47" s="1029">
        <f t="shared" si="0"/>
        <v>395.64</v>
      </c>
      <c r="D47" s="1029">
        <f t="shared" si="1"/>
        <v>542.22</v>
      </c>
      <c r="E47" s="1029"/>
      <c r="F47" s="1029"/>
      <c r="G47" s="1029">
        <f t="shared" si="2"/>
        <v>469</v>
      </c>
      <c r="H47" s="1029"/>
      <c r="I47" s="1029">
        <f t="shared" si="3"/>
        <v>-153.93</v>
      </c>
      <c r="J47" s="1029">
        <f t="shared" si="3"/>
        <v>0.18</v>
      </c>
      <c r="K47" s="1029">
        <f t="shared" si="3"/>
        <v>622.68000000000006</v>
      </c>
      <c r="L47" s="1029"/>
      <c r="M47" s="834">
        <v>-130.83000000000001</v>
      </c>
      <c r="N47" s="834">
        <v>0.18</v>
      </c>
      <c r="O47" s="834">
        <v>526.29</v>
      </c>
      <c r="P47" s="1029"/>
      <c r="Q47" s="834">
        <v>-177.03</v>
      </c>
      <c r="R47" s="834">
        <v>0.18</v>
      </c>
      <c r="S47" s="834">
        <v>719.07</v>
      </c>
    </row>
    <row r="48" spans="1:19">
      <c r="A48" s="1058">
        <f t="shared" si="4"/>
        <v>2.3199999999999932</v>
      </c>
      <c r="B48" s="834" t="s">
        <v>1008</v>
      </c>
      <c r="C48" s="1029">
        <f t="shared" si="0"/>
        <v>-471153.2</v>
      </c>
      <c r="D48" s="1029">
        <f t="shared" si="1"/>
        <v>-1763645.9500000002</v>
      </c>
      <c r="E48" s="1029"/>
      <c r="F48" s="1029"/>
      <c r="G48" s="1029">
        <f t="shared" si="2"/>
        <v>-1117400</v>
      </c>
      <c r="H48" s="1029"/>
      <c r="I48" s="1029">
        <f t="shared" si="3"/>
        <v>-608140.97499999998</v>
      </c>
      <c r="J48" s="1029">
        <f t="shared" si="3"/>
        <v>-363.00999999999993</v>
      </c>
      <c r="K48" s="1029">
        <f t="shared" si="3"/>
        <v>-508895.58999999997</v>
      </c>
      <c r="L48" s="1029"/>
      <c r="M48" s="834">
        <v>0</v>
      </c>
      <c r="N48" s="834">
        <v>355.1</v>
      </c>
      <c r="O48" s="834">
        <v>-471508.3</v>
      </c>
      <c r="P48" s="1029"/>
      <c r="Q48" s="834">
        <v>-1216281.95</v>
      </c>
      <c r="R48" s="834">
        <v>-1081.1199999999999</v>
      </c>
      <c r="S48" s="834">
        <v>-546282.88</v>
      </c>
    </row>
    <row r="49" spans="1:19">
      <c r="A49" s="1058">
        <f t="shared" si="4"/>
        <v>2.329999999999993</v>
      </c>
      <c r="B49" s="834" t="s">
        <v>1009</v>
      </c>
      <c r="C49" s="1029">
        <f t="shared" si="0"/>
        <v>162801.66</v>
      </c>
      <c r="D49" s="1029">
        <f t="shared" si="1"/>
        <v>162801.66</v>
      </c>
      <c r="E49" s="1029"/>
      <c r="F49" s="1029"/>
      <c r="G49" s="1029">
        <f t="shared" si="2"/>
        <v>162802</v>
      </c>
      <c r="H49" s="1029"/>
      <c r="I49" s="1029">
        <f t="shared" si="3"/>
        <v>0</v>
      </c>
      <c r="J49" s="1029">
        <f t="shared" si="3"/>
        <v>12382.02</v>
      </c>
      <c r="K49" s="1029">
        <f t="shared" si="3"/>
        <v>150419.64000000001</v>
      </c>
      <c r="L49" s="1029"/>
      <c r="M49" s="834">
        <v>0</v>
      </c>
      <c r="N49" s="834">
        <v>12382.02</v>
      </c>
      <c r="O49" s="834">
        <v>150419.64000000001</v>
      </c>
      <c r="P49" s="1029"/>
      <c r="Q49" s="834">
        <v>0</v>
      </c>
      <c r="R49" s="834">
        <v>12382.02</v>
      </c>
      <c r="S49" s="834">
        <v>150419.64000000001</v>
      </c>
    </row>
    <row r="50" spans="1:19">
      <c r="A50" s="1058">
        <f t="shared" si="4"/>
        <v>2.3399999999999928</v>
      </c>
      <c r="B50" s="834" t="s">
        <v>1010</v>
      </c>
      <c r="C50" s="1029">
        <f t="shared" si="0"/>
        <v>89614.080000000002</v>
      </c>
      <c r="D50" s="1029">
        <f t="shared" si="1"/>
        <v>104545.08</v>
      </c>
      <c r="E50" s="1029"/>
      <c r="F50" s="1029"/>
      <c r="G50" s="1029">
        <f t="shared" si="2"/>
        <v>97080</v>
      </c>
      <c r="H50" s="1029"/>
      <c r="I50" s="1029">
        <f t="shared" si="3"/>
        <v>0</v>
      </c>
      <c r="J50" s="1029">
        <f t="shared" si="3"/>
        <v>0</v>
      </c>
      <c r="K50" s="1029">
        <f t="shared" si="3"/>
        <v>97079.58</v>
      </c>
      <c r="L50" s="1029"/>
      <c r="M50" s="834">
        <v>0</v>
      </c>
      <c r="N50" s="834">
        <v>0</v>
      </c>
      <c r="O50" s="834">
        <v>89614.080000000002</v>
      </c>
      <c r="P50" s="1029"/>
      <c r="Q50" s="834">
        <v>0</v>
      </c>
      <c r="R50" s="834">
        <v>0</v>
      </c>
      <c r="S50" s="834">
        <v>104545.08</v>
      </c>
    </row>
    <row r="51" spans="1:19">
      <c r="A51" s="1058">
        <f t="shared" si="4"/>
        <v>2.3499999999999925</v>
      </c>
      <c r="B51" s="834" t="s">
        <v>1011</v>
      </c>
      <c r="C51" s="1029">
        <f t="shared" si="0"/>
        <v>0</v>
      </c>
      <c r="D51" s="1029">
        <f t="shared" si="1"/>
        <v>0</v>
      </c>
      <c r="E51" s="1029"/>
      <c r="F51" s="1029"/>
      <c r="G51" s="1029">
        <f t="shared" si="2"/>
        <v>0</v>
      </c>
      <c r="H51" s="1029"/>
      <c r="I51" s="1029">
        <f t="shared" ref="I51:K66" si="17">(M51+Q51)/2</f>
        <v>0</v>
      </c>
      <c r="J51" s="1029">
        <f t="shared" si="17"/>
        <v>0</v>
      </c>
      <c r="K51" s="1029">
        <f t="shared" si="17"/>
        <v>0</v>
      </c>
      <c r="L51" s="1029"/>
      <c r="M51" s="834">
        <v>0</v>
      </c>
      <c r="N51" s="834">
        <v>0</v>
      </c>
      <c r="O51" s="834">
        <v>0</v>
      </c>
      <c r="P51" s="1029"/>
      <c r="Q51" s="834">
        <v>0</v>
      </c>
      <c r="R51" s="834">
        <v>0</v>
      </c>
      <c r="S51" s="834">
        <v>0</v>
      </c>
    </row>
    <row r="52" spans="1:19">
      <c r="A52" s="1058">
        <f t="shared" si="4"/>
        <v>2.3599999999999923</v>
      </c>
      <c r="B52" s="834" t="s">
        <v>1012</v>
      </c>
      <c r="C52" s="1033">
        <f t="shared" si="0"/>
        <v>1718902.88</v>
      </c>
      <c r="D52" s="1033">
        <f t="shared" si="1"/>
        <v>1768212.55</v>
      </c>
      <c r="E52" s="1033"/>
      <c r="F52" s="1033"/>
      <c r="G52" s="1033">
        <f t="shared" si="2"/>
        <v>1743558</v>
      </c>
      <c r="H52" s="1033"/>
      <c r="I52" s="1033">
        <f t="shared" si="17"/>
        <v>1681382.2749999999</v>
      </c>
      <c r="J52" s="1033">
        <f t="shared" si="17"/>
        <v>23607.32</v>
      </c>
      <c r="K52" s="1033">
        <f t="shared" si="17"/>
        <v>38568.119999999995</v>
      </c>
      <c r="L52" s="1033"/>
      <c r="M52" s="834">
        <v>1658495.5</v>
      </c>
      <c r="N52" s="834">
        <v>23031.41</v>
      </c>
      <c r="O52" s="834">
        <v>37375.97</v>
      </c>
      <c r="P52" s="1033"/>
      <c r="Q52" s="834">
        <v>1704269.05</v>
      </c>
      <c r="R52" s="834">
        <v>24183.23</v>
      </c>
      <c r="S52" s="834">
        <v>39760.269999999997</v>
      </c>
    </row>
    <row r="53" spans="1:19">
      <c r="A53" s="1058">
        <f t="shared" si="4"/>
        <v>2.3699999999999921</v>
      </c>
      <c r="B53" s="834" t="s">
        <v>1027</v>
      </c>
      <c r="C53" s="1029">
        <f t="shared" ref="C53" si="18">SUM(M53:O53)</f>
        <v>654316.73</v>
      </c>
      <c r="D53" s="1029">
        <f t="shared" ref="D53" si="19">SUM(Q53:S53)</f>
        <v>604620.21</v>
      </c>
      <c r="E53" s="1029"/>
      <c r="F53" s="1029"/>
      <c r="G53" s="1029">
        <f t="shared" ref="G53" si="20">ROUND(SUM(C53:F53)/2,0)</f>
        <v>629468</v>
      </c>
      <c r="H53" s="1029"/>
      <c r="I53" s="1029">
        <f t="shared" ref="I53" si="21">(M53+Q53)/2</f>
        <v>62767.02</v>
      </c>
      <c r="J53" s="1029">
        <f t="shared" ref="J53" si="22">(N53+R53)/2</f>
        <v>0</v>
      </c>
      <c r="K53" s="1029">
        <f t="shared" ref="K53" si="23">(O53+S53)/2</f>
        <v>566701.44999999995</v>
      </c>
      <c r="L53" s="1029"/>
      <c r="M53" s="834">
        <v>67941.649999999994</v>
      </c>
      <c r="N53" s="834">
        <v>0</v>
      </c>
      <c r="O53" s="834">
        <v>586375.07999999996</v>
      </c>
      <c r="P53" s="1029"/>
      <c r="Q53" s="834">
        <v>57592.39</v>
      </c>
      <c r="R53" s="834">
        <v>0</v>
      </c>
      <c r="S53" s="834">
        <v>547027.81999999995</v>
      </c>
    </row>
    <row r="54" spans="1:19">
      <c r="A54" s="1058">
        <f t="shared" si="4"/>
        <v>2.3799999999999919</v>
      </c>
      <c r="B54" s="834" t="s">
        <v>1013</v>
      </c>
      <c r="C54" s="1029">
        <f t="shared" si="0"/>
        <v>0</v>
      </c>
      <c r="D54" s="1029">
        <f t="shared" si="1"/>
        <v>0</v>
      </c>
      <c r="E54" s="1029"/>
      <c r="F54" s="1029"/>
      <c r="G54" s="1029">
        <f t="shared" si="2"/>
        <v>0</v>
      </c>
      <c r="H54" s="1029"/>
      <c r="I54" s="1029">
        <f t="shared" si="17"/>
        <v>0</v>
      </c>
      <c r="J54" s="1029">
        <f t="shared" si="17"/>
        <v>0</v>
      </c>
      <c r="K54" s="1029">
        <f t="shared" si="17"/>
        <v>0</v>
      </c>
      <c r="L54" s="1029"/>
      <c r="M54" s="834">
        <v>0</v>
      </c>
      <c r="N54" s="834">
        <v>0</v>
      </c>
      <c r="O54" s="834">
        <v>0</v>
      </c>
      <c r="P54" s="1029"/>
      <c r="Q54" s="834">
        <v>0</v>
      </c>
      <c r="R54" s="834">
        <v>0</v>
      </c>
      <c r="S54" s="834">
        <v>0</v>
      </c>
    </row>
    <row r="55" spans="1:19">
      <c r="A55" s="1058">
        <f t="shared" si="4"/>
        <v>2.3899999999999917</v>
      </c>
      <c r="B55" s="834" t="s">
        <v>725</v>
      </c>
      <c r="C55" s="1029">
        <f t="shared" si="0"/>
        <v>2783690.8899999997</v>
      </c>
      <c r="D55" s="1029">
        <f t="shared" si="1"/>
        <v>3126307.99</v>
      </c>
      <c r="E55" s="1029"/>
      <c r="F55" s="1029"/>
      <c r="G55" s="1029">
        <f t="shared" si="2"/>
        <v>2954999</v>
      </c>
      <c r="H55" s="1029"/>
      <c r="I55" s="1029">
        <f t="shared" si="17"/>
        <v>2152690.36</v>
      </c>
      <c r="J55" s="1029">
        <f t="shared" si="17"/>
        <v>89932.01</v>
      </c>
      <c r="K55" s="1029">
        <f t="shared" si="17"/>
        <v>712377.07</v>
      </c>
      <c r="L55" s="1029"/>
      <c r="M55" s="834">
        <v>1993319.68</v>
      </c>
      <c r="N55" s="834">
        <v>89888.75</v>
      </c>
      <c r="O55" s="834">
        <v>700482.46</v>
      </c>
      <c r="P55" s="1029"/>
      <c r="Q55" s="834">
        <v>2312061.04</v>
      </c>
      <c r="R55" s="834">
        <v>89975.26999999999</v>
      </c>
      <c r="S55" s="834">
        <v>724271.67999999993</v>
      </c>
    </row>
    <row r="56" spans="1:19">
      <c r="A56" s="1058">
        <f t="shared" si="4"/>
        <v>2.3999999999999915</v>
      </c>
      <c r="B56" s="834" t="s">
        <v>1014</v>
      </c>
      <c r="C56" s="1029">
        <f t="shared" si="0"/>
        <v>0</v>
      </c>
      <c r="D56" s="1029">
        <f t="shared" si="1"/>
        <v>0</v>
      </c>
      <c r="E56" s="1029"/>
      <c r="F56" s="1029"/>
      <c r="G56" s="1029">
        <f t="shared" si="2"/>
        <v>0</v>
      </c>
      <c r="H56" s="1029"/>
      <c r="I56" s="1029">
        <f t="shared" si="17"/>
        <v>0</v>
      </c>
      <c r="J56" s="1029">
        <f t="shared" si="17"/>
        <v>0</v>
      </c>
      <c r="K56" s="1029">
        <f t="shared" si="17"/>
        <v>0</v>
      </c>
      <c r="L56" s="1029"/>
      <c r="M56" s="834">
        <v>0</v>
      </c>
      <c r="N56" s="834">
        <v>0</v>
      </c>
      <c r="O56" s="834">
        <v>0</v>
      </c>
      <c r="P56" s="1029"/>
      <c r="Q56" s="834">
        <v>0</v>
      </c>
      <c r="R56" s="834">
        <v>0</v>
      </c>
      <c r="S56" s="834">
        <v>0</v>
      </c>
    </row>
    <row r="57" spans="1:19">
      <c r="A57" s="1058">
        <f t="shared" si="4"/>
        <v>2.4099999999999913</v>
      </c>
      <c r="B57" s="834" t="s">
        <v>1015</v>
      </c>
      <c r="C57" s="1029">
        <f t="shared" si="0"/>
        <v>0.15</v>
      </c>
      <c r="D57" s="1029">
        <f t="shared" si="1"/>
        <v>0.15</v>
      </c>
      <c r="E57" s="1029"/>
      <c r="F57" s="1029"/>
      <c r="G57" s="1029">
        <f t="shared" si="2"/>
        <v>0</v>
      </c>
      <c r="H57" s="1029"/>
      <c r="I57" s="1029">
        <f t="shared" si="17"/>
        <v>0</v>
      </c>
      <c r="J57" s="1029">
        <f t="shared" si="17"/>
        <v>0.15</v>
      </c>
      <c r="K57" s="1029">
        <f t="shared" si="17"/>
        <v>0</v>
      </c>
      <c r="L57" s="1029"/>
      <c r="M57" s="834">
        <v>0</v>
      </c>
      <c r="N57" s="834">
        <v>0.15</v>
      </c>
      <c r="O57" s="834">
        <v>0</v>
      </c>
      <c r="P57" s="1029"/>
      <c r="Q57" s="834">
        <v>0</v>
      </c>
      <c r="R57" s="834">
        <v>0.15</v>
      </c>
      <c r="S57" s="834">
        <v>0</v>
      </c>
    </row>
    <row r="58" spans="1:19" ht="13.5" customHeight="1">
      <c r="A58" s="1058">
        <f t="shared" si="4"/>
        <v>2.419999999999991</v>
      </c>
      <c r="B58" s="834" t="s">
        <v>1016</v>
      </c>
      <c r="C58" s="1029">
        <f t="shared" si="0"/>
        <v>0</v>
      </c>
      <c r="D58" s="1029">
        <f t="shared" si="1"/>
        <v>0</v>
      </c>
      <c r="E58" s="1029"/>
      <c r="F58" s="1029"/>
      <c r="G58" s="1029">
        <f t="shared" si="2"/>
        <v>0</v>
      </c>
      <c r="H58" s="1029"/>
      <c r="I58" s="1029">
        <f t="shared" si="17"/>
        <v>0</v>
      </c>
      <c r="J58" s="1029">
        <f t="shared" si="17"/>
        <v>0</v>
      </c>
      <c r="K58" s="1029">
        <f t="shared" si="17"/>
        <v>0</v>
      </c>
      <c r="L58" s="1029"/>
      <c r="M58" s="834">
        <v>0</v>
      </c>
      <c r="N58" s="834">
        <v>0</v>
      </c>
      <c r="O58" s="834">
        <v>0</v>
      </c>
      <c r="P58" s="1029"/>
      <c r="Q58" s="834">
        <v>0</v>
      </c>
      <c r="R58" s="834">
        <v>0</v>
      </c>
      <c r="S58" s="834">
        <v>0</v>
      </c>
    </row>
    <row r="59" spans="1:19">
      <c r="A59" s="1058">
        <f t="shared" si="4"/>
        <v>2.4299999999999908</v>
      </c>
      <c r="B59" s="834" t="s">
        <v>1017</v>
      </c>
      <c r="C59" s="1029">
        <f t="shared" si="0"/>
        <v>0</v>
      </c>
      <c r="D59" s="1029">
        <f t="shared" si="1"/>
        <v>0</v>
      </c>
      <c r="E59" s="1029"/>
      <c r="F59" s="1029"/>
      <c r="G59" s="1029">
        <f t="shared" si="2"/>
        <v>0</v>
      </c>
      <c r="H59" s="1029"/>
      <c r="I59" s="1029">
        <f t="shared" si="17"/>
        <v>0</v>
      </c>
      <c r="J59" s="1029">
        <f t="shared" si="17"/>
        <v>0</v>
      </c>
      <c r="K59" s="1029">
        <f t="shared" si="17"/>
        <v>0</v>
      </c>
      <c r="L59" s="1029"/>
      <c r="M59" s="834">
        <v>0</v>
      </c>
      <c r="N59" s="834">
        <v>0</v>
      </c>
      <c r="O59" s="834">
        <v>0</v>
      </c>
      <c r="P59" s="1029"/>
      <c r="Q59" s="834">
        <v>0</v>
      </c>
      <c r="R59" s="834">
        <v>0</v>
      </c>
      <c r="S59" s="834">
        <v>0</v>
      </c>
    </row>
    <row r="60" spans="1:19">
      <c r="A60" s="1058">
        <f t="shared" si="4"/>
        <v>2.4399999999999906</v>
      </c>
      <c r="B60" s="834" t="s">
        <v>1018</v>
      </c>
      <c r="C60" s="1029">
        <f t="shared" si="0"/>
        <v>-2060.94</v>
      </c>
      <c r="D60" s="1029">
        <f t="shared" si="1"/>
        <v>-2060.94</v>
      </c>
      <c r="E60" s="1029"/>
      <c r="F60" s="1029"/>
      <c r="G60" s="1029">
        <f t="shared" si="2"/>
        <v>-2061</v>
      </c>
      <c r="H60" s="1029"/>
      <c r="I60" s="1029">
        <f t="shared" si="17"/>
        <v>0</v>
      </c>
      <c r="J60" s="1029">
        <f t="shared" si="17"/>
        <v>0</v>
      </c>
      <c r="K60" s="1029">
        <f t="shared" si="17"/>
        <v>-2060.94</v>
      </c>
      <c r="L60" s="1029"/>
      <c r="M60" s="834">
        <v>0</v>
      </c>
      <c r="N60" s="834">
        <v>0</v>
      </c>
      <c r="O60" s="834">
        <v>-2060.94</v>
      </c>
      <c r="P60" s="1029"/>
      <c r="Q60" s="834">
        <v>0</v>
      </c>
      <c r="R60" s="834">
        <v>0</v>
      </c>
      <c r="S60" s="834">
        <v>-2060.94</v>
      </c>
    </row>
    <row r="61" spans="1:19">
      <c r="A61" s="1058">
        <f t="shared" si="4"/>
        <v>2.4499999999999904</v>
      </c>
      <c r="B61" s="834" t="s">
        <v>1127</v>
      </c>
      <c r="C61" s="1029">
        <f t="shared" ref="C61:C62" si="24">SUM(M61:O61)</f>
        <v>7.0000000000000007E-2</v>
      </c>
      <c r="D61" s="1029">
        <f t="shared" ref="D61:D62" si="25">SUM(Q61:S61)</f>
        <v>7.0000000000000007E-2</v>
      </c>
      <c r="E61" s="1029"/>
      <c r="F61" s="1029"/>
      <c r="G61" s="1029">
        <f t="shared" ref="G61:G62" si="26">ROUND(SUM(C61:F61)/2,0)</f>
        <v>0</v>
      </c>
      <c r="H61" s="1029"/>
      <c r="I61" s="1029">
        <f t="shared" ref="I61:I62" si="27">(M61+Q61)/2</f>
        <v>0</v>
      </c>
      <c r="J61" s="1029">
        <f t="shared" ref="J61:J62" si="28">(N61+R61)/2</f>
        <v>0</v>
      </c>
      <c r="K61" s="1029">
        <f t="shared" ref="K61:K62" si="29">(O61+S61)/2</f>
        <v>7.0000000000000007E-2</v>
      </c>
      <c r="L61" s="1029"/>
      <c r="M61" s="834">
        <v>0</v>
      </c>
      <c r="N61" s="834">
        <v>0</v>
      </c>
      <c r="O61" s="834">
        <v>7.0000000000000007E-2</v>
      </c>
      <c r="P61" s="1029"/>
      <c r="Q61" s="834">
        <v>0</v>
      </c>
      <c r="R61" s="834">
        <v>0</v>
      </c>
      <c r="S61" s="834">
        <v>7.0000000000000007E-2</v>
      </c>
    </row>
    <row r="62" spans="1:19">
      <c r="A62" s="1058">
        <f t="shared" si="4"/>
        <v>2.4599999999999902</v>
      </c>
      <c r="B62" s="834" t="s">
        <v>1019</v>
      </c>
      <c r="C62" s="1029">
        <f t="shared" si="24"/>
        <v>0</v>
      </c>
      <c r="D62" s="1029">
        <f t="shared" si="25"/>
        <v>-250.16</v>
      </c>
      <c r="E62" s="1029"/>
      <c r="F62" s="1029"/>
      <c r="G62" s="1029">
        <f t="shared" si="26"/>
        <v>-125</v>
      </c>
      <c r="H62" s="1029"/>
      <c r="I62" s="1029">
        <f t="shared" si="27"/>
        <v>-125.08</v>
      </c>
      <c r="J62" s="1029">
        <f t="shared" si="28"/>
        <v>0</v>
      </c>
      <c r="K62" s="1029">
        <f t="shared" si="29"/>
        <v>0</v>
      </c>
      <c r="L62" s="1029"/>
      <c r="M62" s="834">
        <v>0</v>
      </c>
      <c r="N62" s="834">
        <v>0</v>
      </c>
      <c r="O62" s="834">
        <v>0</v>
      </c>
      <c r="P62" s="1029"/>
      <c r="Q62" s="834">
        <v>-250.16</v>
      </c>
      <c r="R62" s="834">
        <v>0</v>
      </c>
      <c r="S62" s="834">
        <v>0</v>
      </c>
    </row>
    <row r="63" spans="1:19">
      <c r="A63" s="1058">
        <f t="shared" si="4"/>
        <v>2.46999999999999</v>
      </c>
      <c r="B63" s="834" t="s">
        <v>1293</v>
      </c>
      <c r="C63" s="1029">
        <f t="shared" ref="C63" si="30">SUM(M63:O63)</f>
        <v>0</v>
      </c>
      <c r="D63" s="1029">
        <f t="shared" ref="D63" si="31">SUM(Q63:S63)</f>
        <v>3449.62</v>
      </c>
      <c r="E63" s="1029"/>
      <c r="F63" s="1029"/>
      <c r="G63" s="1029">
        <f t="shared" ref="G63" si="32">ROUND(SUM(C63:F63)/2,0)</f>
        <v>1725</v>
      </c>
      <c r="H63" s="1029"/>
      <c r="I63" s="1029">
        <f t="shared" ref="I63" si="33">(M63+Q63)/2</f>
        <v>1724.81</v>
      </c>
      <c r="J63" s="1029">
        <f t="shared" ref="J63" si="34">(N63+R63)/2</f>
        <v>0</v>
      </c>
      <c r="K63" s="1029">
        <f t="shared" ref="K63" si="35">(O63+S63)/2</f>
        <v>0</v>
      </c>
      <c r="L63" s="1029"/>
      <c r="M63" s="834">
        <v>0</v>
      </c>
      <c r="N63" s="834">
        <v>0</v>
      </c>
      <c r="O63" s="834">
        <v>0</v>
      </c>
      <c r="P63" s="1029"/>
      <c r="Q63" s="834">
        <v>3449.62</v>
      </c>
      <c r="R63" s="834">
        <v>0</v>
      </c>
      <c r="S63" s="834">
        <v>0</v>
      </c>
    </row>
    <row r="64" spans="1:19">
      <c r="A64" s="1058">
        <f t="shared" si="4"/>
        <v>2.4799999999999898</v>
      </c>
      <c r="B64" s="834" t="s">
        <v>1108</v>
      </c>
      <c r="C64" s="1029">
        <f t="shared" si="0"/>
        <v>8579</v>
      </c>
      <c r="D64" s="1029">
        <f t="shared" si="1"/>
        <v>16946.68</v>
      </c>
      <c r="E64" s="1029"/>
      <c r="F64" s="1029"/>
      <c r="G64" s="1029">
        <f t="shared" si="2"/>
        <v>12763</v>
      </c>
      <c r="H64" s="1029"/>
      <c r="I64" s="1029">
        <f t="shared" si="17"/>
        <v>4183.84</v>
      </c>
      <c r="J64" s="1029">
        <f t="shared" si="17"/>
        <v>7875</v>
      </c>
      <c r="K64" s="1029">
        <f t="shared" si="17"/>
        <v>704</v>
      </c>
      <c r="L64" s="1029"/>
      <c r="M64" s="834">
        <v>0</v>
      </c>
      <c r="N64" s="834">
        <v>7875</v>
      </c>
      <c r="O64" s="834">
        <v>704</v>
      </c>
      <c r="P64" s="1029"/>
      <c r="Q64" s="834">
        <v>8367.68</v>
      </c>
      <c r="R64" s="834">
        <v>7875</v>
      </c>
      <c r="S64" s="834">
        <v>704</v>
      </c>
    </row>
    <row r="65" spans="1:256">
      <c r="A65" s="1058">
        <f t="shared" si="4"/>
        <v>2.4899999999999896</v>
      </c>
      <c r="B65" s="834" t="s">
        <v>1174</v>
      </c>
      <c r="C65" s="1029">
        <f t="shared" ref="C65" si="36">SUM(M65:O65)</f>
        <v>1179760.03</v>
      </c>
      <c r="D65" s="1029">
        <f t="shared" ref="D65" si="37">SUM(Q65:S65)</f>
        <v>-0.11</v>
      </c>
      <c r="E65" s="1029"/>
      <c r="F65" s="1029"/>
      <c r="G65" s="1029">
        <f t="shared" ref="G65" si="38">ROUND(SUM(C65:F65)/2,0)</f>
        <v>589880</v>
      </c>
      <c r="H65" s="1029"/>
      <c r="I65" s="1029">
        <f t="shared" ref="I65" si="39">(M65+Q65)/2</f>
        <v>458256.62999999995</v>
      </c>
      <c r="J65" s="1029">
        <f t="shared" ref="J65" si="40">(N65+R65)/2</f>
        <v>0</v>
      </c>
      <c r="K65" s="1029">
        <f t="shared" ref="K65" si="41">(O65+S65)/2</f>
        <v>131623.33000000002</v>
      </c>
      <c r="L65" s="1029"/>
      <c r="M65" s="834">
        <v>916513.32</v>
      </c>
      <c r="N65" s="834">
        <v>0</v>
      </c>
      <c r="O65" s="834">
        <v>263246.71000000002</v>
      </c>
      <c r="P65" s="1029"/>
      <c r="Q65" s="834">
        <v>-0.06</v>
      </c>
      <c r="R65" s="834">
        <v>0</v>
      </c>
      <c r="S65" s="834">
        <v>-0.05</v>
      </c>
    </row>
    <row r="66" spans="1:256">
      <c r="A66" s="1058">
        <f t="shared" si="4"/>
        <v>2.4999999999999893</v>
      </c>
      <c r="B66" s="1408" t="s">
        <v>1167</v>
      </c>
      <c r="C66" s="1408">
        <f t="shared" ref="C66" si="42">SUM(M66:O66)</f>
        <v>962683.67269999965</v>
      </c>
      <c r="D66" s="1408">
        <f t="shared" ref="D66" si="43">SUM(Q66:S66)</f>
        <v>28420409.849999998</v>
      </c>
      <c r="E66" s="1409"/>
      <c r="F66" s="1409"/>
      <c r="G66" s="1029">
        <f t="shared" ref="G66:G67" si="44">ROUND(SUM(C66:F66)/2,0)</f>
        <v>14691547</v>
      </c>
      <c r="H66" s="1029"/>
      <c r="I66" s="1029">
        <f t="shared" si="17"/>
        <v>6273153.0781519776</v>
      </c>
      <c r="J66" s="1029">
        <f t="shared" si="17"/>
        <v>2145240.6050460436</v>
      </c>
      <c r="K66" s="1029">
        <f t="shared" si="17"/>
        <v>6273153.0781519776</v>
      </c>
      <c r="L66" s="1029"/>
      <c r="M66" s="834">
        <v>369992.51947944809</v>
      </c>
      <c r="N66" s="834">
        <v>222698.63374110352</v>
      </c>
      <c r="O66" s="834">
        <v>369992.51947944809</v>
      </c>
      <c r="P66" s="1029"/>
      <c r="Q66" s="834">
        <v>12176313.636824507</v>
      </c>
      <c r="R66" s="834">
        <v>4067782.5763509842</v>
      </c>
      <c r="S66" s="834">
        <v>12176313.636824507</v>
      </c>
    </row>
    <row r="67" spans="1:256">
      <c r="A67" s="1058">
        <f t="shared" si="4"/>
        <v>2.5099999999999891</v>
      </c>
      <c r="B67" s="1408" t="s">
        <v>1168</v>
      </c>
      <c r="C67" s="1408">
        <f t="shared" ref="C67:D69" si="45">-E67</f>
        <v>-962683.67269999965</v>
      </c>
      <c r="D67" s="1408">
        <f t="shared" si="45"/>
        <v>-28420409.849999998</v>
      </c>
      <c r="E67" s="1409">
        <f>C66</f>
        <v>962683.67269999965</v>
      </c>
      <c r="F67" s="1409">
        <f>D66</f>
        <v>28420409.849999998</v>
      </c>
      <c r="G67" s="1029">
        <f t="shared" si="44"/>
        <v>0</v>
      </c>
      <c r="H67" s="1029"/>
      <c r="I67" s="1029"/>
      <c r="J67" s="1029"/>
      <c r="K67" s="1029"/>
      <c r="L67" s="1029"/>
      <c r="M67" s="1391"/>
      <c r="N67" s="1391"/>
      <c r="O67" s="1391"/>
      <c r="P67" s="1029"/>
      <c r="Q67" s="1391"/>
      <c r="R67" s="1391"/>
      <c r="S67" s="1391"/>
    </row>
    <row r="68" spans="1:256">
      <c r="A68" s="1058">
        <f t="shared" si="4"/>
        <v>2.5199999999999889</v>
      </c>
      <c r="B68" s="834" t="s">
        <v>1020</v>
      </c>
      <c r="C68" s="834">
        <f t="shared" si="45"/>
        <v>332778.32</v>
      </c>
      <c r="D68" s="834">
        <f t="shared" si="45"/>
        <v>186030.69</v>
      </c>
      <c r="E68" s="1029">
        <v>-332778.32</v>
      </c>
      <c r="F68" s="1029">
        <v>-186030.69</v>
      </c>
      <c r="G68" s="1029">
        <f t="shared" ref="G68:G75" si="46">ROUND(SUM(C68:F68)/2,0)</f>
        <v>0</v>
      </c>
      <c r="H68" s="1029"/>
      <c r="I68" s="1029"/>
      <c r="J68" s="1029"/>
      <c r="K68" s="1029"/>
      <c r="L68" s="1029"/>
      <c r="M68" s="1029"/>
      <c r="N68" s="1029"/>
      <c r="O68" s="1029"/>
      <c r="P68" s="1029"/>
      <c r="Q68" s="1029"/>
      <c r="R68" s="1029"/>
      <c r="S68" s="1029"/>
    </row>
    <row r="69" spans="1:256">
      <c r="A69" s="1058">
        <f t="shared" si="4"/>
        <v>2.5299999999999887</v>
      </c>
      <c r="B69" s="834" t="s">
        <v>1175</v>
      </c>
      <c r="C69" s="834">
        <f t="shared" si="45"/>
        <v>207559.67</v>
      </c>
      <c r="D69" s="834">
        <f t="shared" si="45"/>
        <v>8343839.3399999999</v>
      </c>
      <c r="E69" s="1029">
        <v>-207559.67</v>
      </c>
      <c r="F69" s="1029">
        <v>-8343839.3399999999</v>
      </c>
      <c r="G69" s="1029">
        <f t="shared" ref="G69" si="47">ROUND(SUM(C69:F69)/2,0)</f>
        <v>0</v>
      </c>
      <c r="H69" s="1029"/>
      <c r="I69" s="1029"/>
      <c r="J69" s="1029"/>
      <c r="K69" s="1029"/>
      <c r="L69" s="1029"/>
      <c r="M69" s="1029"/>
      <c r="N69" s="1029"/>
      <c r="O69" s="1029"/>
      <c r="P69" s="1029"/>
      <c r="Q69" s="1029"/>
      <c r="R69" s="1029"/>
      <c r="S69" s="1029"/>
    </row>
    <row r="70" spans="1:256">
      <c r="A70" s="1058">
        <f t="shared" si="4"/>
        <v>2.5399999999999885</v>
      </c>
      <c r="B70" s="834" t="s">
        <v>1021</v>
      </c>
      <c r="C70" s="834">
        <f t="shared" ref="C70:C75" si="48">-E70</f>
        <v>8990451.5399999991</v>
      </c>
      <c r="D70" s="834">
        <f t="shared" ref="D70:D75" si="49">-F70</f>
        <v>11023469.93</v>
      </c>
      <c r="E70" s="1029">
        <v>-8990451.5399999991</v>
      </c>
      <c r="F70" s="1029">
        <v>-11023469.93</v>
      </c>
      <c r="G70" s="1029">
        <f t="shared" si="46"/>
        <v>0</v>
      </c>
      <c r="H70" s="1029"/>
      <c r="I70" s="1029"/>
      <c r="J70" s="1029"/>
      <c r="K70" s="1029"/>
      <c r="L70" s="1029"/>
      <c r="M70" s="1029"/>
      <c r="N70" s="1029"/>
      <c r="O70" s="1029"/>
      <c r="P70" s="1029"/>
      <c r="Q70" s="1029"/>
      <c r="R70" s="1029"/>
      <c r="S70" s="1029"/>
    </row>
    <row r="71" spans="1:256">
      <c r="A71" s="1058">
        <f t="shared" si="4"/>
        <v>2.5499999999999883</v>
      </c>
      <c r="B71" s="834" t="s">
        <v>1022</v>
      </c>
      <c r="C71" s="834">
        <f t="shared" si="48"/>
        <v>15718089.76</v>
      </c>
      <c r="D71" s="834">
        <f t="shared" si="49"/>
        <v>15062307.609999999</v>
      </c>
      <c r="E71" s="1029">
        <v>-15718089.76</v>
      </c>
      <c r="F71" s="1029">
        <v>-15062307.609999999</v>
      </c>
      <c r="G71" s="1029">
        <f t="shared" si="46"/>
        <v>0</v>
      </c>
      <c r="H71" s="1029"/>
      <c r="I71" s="1029"/>
      <c r="J71" s="1029"/>
      <c r="K71" s="1029"/>
      <c r="L71" s="1029"/>
      <c r="M71" s="1029"/>
      <c r="N71" s="1029"/>
      <c r="O71" s="1029"/>
      <c r="P71" s="1029"/>
      <c r="Q71" s="1029"/>
      <c r="R71" s="1029"/>
      <c r="S71" s="1029"/>
    </row>
    <row r="72" spans="1:256">
      <c r="A72" s="1058">
        <f t="shared" si="4"/>
        <v>2.5599999999999881</v>
      </c>
      <c r="B72" s="834" t="s">
        <v>1176</v>
      </c>
      <c r="C72" s="834">
        <f t="shared" ref="C72" si="50">-E72</f>
        <v>4610.75</v>
      </c>
      <c r="D72" s="834">
        <f t="shared" ref="D72" si="51">-F72</f>
        <v>4610.75</v>
      </c>
      <c r="E72" s="1029">
        <v>-4610.75</v>
      </c>
      <c r="F72" s="1029">
        <v>-4610.75</v>
      </c>
      <c r="G72" s="1029">
        <f t="shared" ref="G72" si="52">ROUND(SUM(C72:F72)/2,0)</f>
        <v>0</v>
      </c>
      <c r="H72" s="1029"/>
      <c r="I72" s="1029"/>
      <c r="J72" s="1029"/>
      <c r="K72" s="1029"/>
      <c r="L72" s="1029"/>
      <c r="M72" s="1029"/>
      <c r="N72" s="1029"/>
      <c r="O72" s="1029"/>
      <c r="P72" s="1029"/>
      <c r="Q72" s="1029"/>
      <c r="R72" s="1029"/>
      <c r="S72" s="1029"/>
    </row>
    <row r="73" spans="1:256">
      <c r="A73" s="1058">
        <f t="shared" si="4"/>
        <v>2.5699999999999878</v>
      </c>
      <c r="B73" s="834" t="s">
        <v>1163</v>
      </c>
      <c r="C73" s="834">
        <f t="shared" ref="C73" si="53">-E73</f>
        <v>-755475.71</v>
      </c>
      <c r="D73" s="834">
        <f t="shared" ref="D73" si="54">-F73</f>
        <v>-750657.29</v>
      </c>
      <c r="E73" s="1029">
        <v>755475.71</v>
      </c>
      <c r="F73" s="1029">
        <v>750657.29</v>
      </c>
      <c r="G73" s="1029">
        <f t="shared" si="46"/>
        <v>0</v>
      </c>
      <c r="H73" s="1029"/>
      <c r="I73" s="1029"/>
      <c r="J73" s="1029"/>
      <c r="K73" s="1029"/>
      <c r="L73" s="1029"/>
      <c r="M73" s="1029"/>
      <c r="N73" s="1029"/>
      <c r="O73" s="1029"/>
      <c r="P73" s="1029"/>
      <c r="Q73" s="1029"/>
      <c r="R73" s="1029"/>
      <c r="S73" s="1029"/>
    </row>
    <row r="74" spans="1:256">
      <c r="A74" s="1058">
        <f t="shared" si="4"/>
        <v>2.5799999999999876</v>
      </c>
      <c r="B74" s="834" t="s">
        <v>1023</v>
      </c>
      <c r="C74" s="834">
        <f t="shared" si="48"/>
        <v>-258312.18</v>
      </c>
      <c r="D74" s="834">
        <f t="shared" si="49"/>
        <v>-89904.99</v>
      </c>
      <c r="E74" s="1029">
        <v>258312.18</v>
      </c>
      <c r="F74" s="1029">
        <v>89904.99</v>
      </c>
      <c r="G74" s="1029">
        <f t="shared" si="46"/>
        <v>0</v>
      </c>
      <c r="H74" s="1029"/>
      <c r="I74" s="1029"/>
      <c r="J74" s="1029"/>
      <c r="K74" s="1029"/>
      <c r="L74" s="1029"/>
      <c r="M74" s="1029"/>
      <c r="N74" s="1029"/>
      <c r="O74" s="1029"/>
      <c r="P74" s="1029"/>
      <c r="Q74" s="1029"/>
      <c r="R74" s="1029"/>
      <c r="S74" s="1029"/>
    </row>
    <row r="75" spans="1:256">
      <c r="A75" s="1058">
        <f t="shared" si="4"/>
        <v>2.5899999999999874</v>
      </c>
      <c r="B75" s="834" t="s">
        <v>1024</v>
      </c>
      <c r="C75" s="834">
        <f t="shared" si="48"/>
        <v>0</v>
      </c>
      <c r="D75" s="834">
        <f t="shared" si="49"/>
        <v>0</v>
      </c>
      <c r="E75" s="1029">
        <v>0</v>
      </c>
      <c r="F75" s="1029">
        <v>0</v>
      </c>
      <c r="G75" s="1029">
        <f t="shared" si="46"/>
        <v>0</v>
      </c>
      <c r="H75" s="1029"/>
      <c r="I75" s="1029"/>
      <c r="J75" s="1029"/>
      <c r="K75" s="1029"/>
      <c r="L75" s="1029"/>
      <c r="M75" s="1029"/>
      <c r="N75" s="1029"/>
      <c r="O75" s="1029"/>
      <c r="P75" s="1029"/>
      <c r="Q75" s="1029"/>
      <c r="R75" s="1029"/>
      <c r="S75" s="1029"/>
    </row>
    <row r="76" spans="1:256">
      <c r="A76" s="1048"/>
      <c r="B76" s="1029"/>
      <c r="C76" s="1029"/>
      <c r="D76" s="1029"/>
      <c r="E76" s="1029"/>
      <c r="F76" s="1029"/>
      <c r="G76" s="1029"/>
      <c r="H76" s="1029"/>
      <c r="I76" s="1029"/>
      <c r="J76" s="1029"/>
      <c r="K76" s="1029"/>
      <c r="L76" s="1029"/>
      <c r="M76" s="1029"/>
      <c r="N76" s="1029"/>
      <c r="O76" s="1029"/>
      <c r="P76" s="1029"/>
      <c r="Q76" s="1029"/>
      <c r="R76" s="1029"/>
      <c r="S76" s="1029"/>
    </row>
    <row r="77" spans="1:256" ht="13.5" thickBot="1">
      <c r="A77" s="21">
        <v>3</v>
      </c>
      <c r="B77" s="1034" t="s">
        <v>735</v>
      </c>
      <c r="C77" s="1049">
        <f>SUM(C17:C76)</f>
        <v>34283832.630000003</v>
      </c>
      <c r="D77" s="1049">
        <f>SUM(D17:D76)</f>
        <v>42711133.269999996</v>
      </c>
      <c r="E77" s="1049">
        <f>SUM(E17:E76)</f>
        <v>-23277018.477299999</v>
      </c>
      <c r="F77" s="1049">
        <f>SUM(F17:F76)</f>
        <v>-5359286.1900000023</v>
      </c>
      <c r="G77" s="1049">
        <f>SUM(G17:G76)</f>
        <v>24179330</v>
      </c>
      <c r="H77" s="1029"/>
      <c r="I77" s="1049">
        <f>SUM(I17:I76)</f>
        <v>12146998.028151978</v>
      </c>
      <c r="J77" s="1049">
        <f>SUM(J17:J76)</f>
        <v>3004888.8550460436</v>
      </c>
      <c r="K77" s="1049">
        <f>SUM(K17:K76)</f>
        <v>9027443.7331519779</v>
      </c>
      <c r="L77" s="1029"/>
      <c r="M77" s="1049">
        <f>SUM(M17:M76)</f>
        <v>6909580.0494794482</v>
      </c>
      <c r="N77" s="1049">
        <f>SUM(N17:N76)</f>
        <v>833546.37374110357</v>
      </c>
      <c r="O77" s="1049">
        <f>SUM(O17:O76)</f>
        <v>3263687.7294794484</v>
      </c>
      <c r="P77" s="1029"/>
      <c r="Q77" s="1049">
        <f>SUM(Q17:Q76)</f>
        <v>17384416.006824508</v>
      </c>
      <c r="R77" s="1049">
        <f>SUM(R17:R76)</f>
        <v>5176231.3363509839</v>
      </c>
      <c r="S77" s="1049">
        <f>SUM(S17:S76)</f>
        <v>14791199.736824507</v>
      </c>
    </row>
    <row r="78" spans="1:256" ht="13.5" thickTop="1">
      <c r="A78" s="1">
        <v>4</v>
      </c>
      <c r="B78" s="1105" t="s">
        <v>738</v>
      </c>
      <c r="C78" s="1106">
        <f>C52</f>
        <v>1718902.88</v>
      </c>
      <c r="D78" s="1106">
        <f t="shared" ref="D78:S78" si="55">D52</f>
        <v>1768212.55</v>
      </c>
      <c r="E78" s="1106">
        <f t="shared" si="55"/>
        <v>0</v>
      </c>
      <c r="F78" s="1106">
        <f t="shared" si="55"/>
        <v>0</v>
      </c>
      <c r="G78" s="1106">
        <f t="shared" si="55"/>
        <v>1743558</v>
      </c>
      <c r="H78" s="5"/>
      <c r="I78" s="1106">
        <f t="shared" si="55"/>
        <v>1681382.2749999999</v>
      </c>
      <c r="J78" s="1106">
        <f t="shared" si="55"/>
        <v>23607.32</v>
      </c>
      <c r="K78" s="1106">
        <f t="shared" si="55"/>
        <v>38568.119999999995</v>
      </c>
      <c r="L78" s="5"/>
      <c r="M78" s="1106">
        <f t="shared" si="55"/>
        <v>1658495.5</v>
      </c>
      <c r="N78" s="1106">
        <f t="shared" si="55"/>
        <v>23031.41</v>
      </c>
      <c r="O78" s="1106">
        <f t="shared" si="55"/>
        <v>37375.97</v>
      </c>
      <c r="P78" s="5"/>
      <c r="Q78" s="1106">
        <f t="shared" si="55"/>
        <v>1704269.05</v>
      </c>
      <c r="R78" s="1106">
        <f t="shared" si="55"/>
        <v>24183.23</v>
      </c>
      <c r="S78" s="1106">
        <f t="shared" si="55"/>
        <v>39760.269999999997</v>
      </c>
      <c r="T78" s="5"/>
      <c r="IV78" s="1050"/>
    </row>
    <row r="79" spans="1:256">
      <c r="I79" s="1050"/>
    </row>
    <row r="115" spans="7:7">
      <c r="G115">
        <v>0</v>
      </c>
    </row>
    <row r="132" spans="7:12">
      <c r="G132" s="1279"/>
      <c r="L132" s="1279"/>
    </row>
  </sheetData>
  <pageMargins left="0.7" right="0.7" top="0.75" bottom="0.75" header="0.3" footer="0.3"/>
  <pageSetup scale="3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pageSetUpPr fitToPage="1"/>
  </sheetPr>
  <dimension ref="A1:W101"/>
  <sheetViews>
    <sheetView zoomScale="85" zoomScaleNormal="85" workbookViewId="0">
      <selection activeCell="A2" sqref="A2"/>
    </sheetView>
  </sheetViews>
  <sheetFormatPr defaultColWidth="10" defaultRowHeight="12"/>
  <cols>
    <col min="1" max="1" width="9.42578125" style="1340" customWidth="1"/>
    <col min="2" max="2" width="20.85546875" style="1341" customWidth="1"/>
    <col min="3" max="3" width="35.5703125" style="1340" customWidth="1"/>
    <col min="4" max="4" width="12.85546875" style="1340" customWidth="1"/>
    <col min="5" max="5" width="10.42578125" style="1340" customWidth="1"/>
    <col min="6" max="6" width="16.42578125" style="1340" customWidth="1"/>
    <col min="7" max="7" width="12" style="1340" customWidth="1"/>
    <col min="8" max="8" width="14.28515625" style="1340" bestFit="1" customWidth="1"/>
    <col min="9" max="9" width="18.85546875" style="1340" customWidth="1"/>
    <col min="10" max="10" width="15.5703125" style="1340" customWidth="1"/>
    <col min="11" max="11" width="16.140625" style="1340" customWidth="1"/>
    <col min="12" max="13" width="15" style="1340" customWidth="1"/>
    <col min="14" max="14" width="13.5703125" style="1340" customWidth="1"/>
    <col min="15" max="15" width="15" style="1340" customWidth="1"/>
    <col min="16" max="17" width="17.5703125" style="1340" customWidth="1"/>
    <col min="18" max="18" width="33" style="1340" customWidth="1"/>
    <col min="19" max="19" width="15" style="1340" customWidth="1"/>
    <col min="20" max="21" width="14.5703125" style="1340" bestFit="1" customWidth="1"/>
    <col min="22" max="22" width="10.5703125" style="1340" bestFit="1" customWidth="1"/>
    <col min="23" max="16384" width="10" style="1340"/>
  </cols>
  <sheetData>
    <row r="1" spans="1:23" ht="12.75">
      <c r="A1" s="1340" t="s">
        <v>1034</v>
      </c>
      <c r="R1" s="1342"/>
    </row>
    <row r="2" spans="1:23" ht="15" customHeight="1">
      <c r="A2" s="1340" t="s">
        <v>1035</v>
      </c>
      <c r="R2" s="1342"/>
      <c r="V2" s="1343"/>
    </row>
    <row r="3" spans="1:23" ht="12.75">
      <c r="A3" s="1340" t="s">
        <v>1036</v>
      </c>
      <c r="R3" s="1342"/>
      <c r="V3" s="1313"/>
    </row>
    <row r="4" spans="1:23">
      <c r="A4" s="1340" t="s">
        <v>1287</v>
      </c>
      <c r="G4" s="1314"/>
    </row>
    <row r="5" spans="1:23">
      <c r="A5" s="1340" t="s">
        <v>1037</v>
      </c>
      <c r="I5" s="1344"/>
      <c r="J5" s="1344"/>
      <c r="P5" s="1344"/>
      <c r="Q5" s="1344"/>
    </row>
    <row r="6" spans="1:23">
      <c r="J6" s="1344"/>
      <c r="K6" s="1315"/>
      <c r="L6" s="1341"/>
      <c r="M6" s="1341"/>
      <c r="N6" s="1341"/>
      <c r="O6" s="1341"/>
      <c r="P6" s="1341"/>
      <c r="Q6" s="1341"/>
    </row>
    <row r="7" spans="1:23">
      <c r="B7" s="1345"/>
      <c r="C7" s="1345"/>
      <c r="D7" s="1345"/>
      <c r="E7" s="1345"/>
      <c r="F7" s="1345"/>
      <c r="G7" s="1345"/>
      <c r="H7" s="1345"/>
      <c r="I7" s="1345"/>
      <c r="J7" s="1345"/>
      <c r="K7" s="1345"/>
      <c r="L7" s="1345"/>
      <c r="M7" s="1345"/>
      <c r="N7" s="1345"/>
      <c r="O7" s="1345"/>
      <c r="P7" s="1345"/>
      <c r="Q7" s="1341"/>
    </row>
    <row r="8" spans="1:23">
      <c r="A8" s="1341" t="s">
        <v>148</v>
      </c>
      <c r="B8" s="1341" t="s">
        <v>149</v>
      </c>
      <c r="C8" s="1341" t="s">
        <v>150</v>
      </c>
      <c r="D8" s="1341" t="s">
        <v>151</v>
      </c>
      <c r="E8" s="1341" t="s">
        <v>152</v>
      </c>
      <c r="F8" s="1341" t="s">
        <v>153</v>
      </c>
      <c r="G8" s="1341" t="s">
        <v>154</v>
      </c>
      <c r="H8" s="1341" t="s">
        <v>155</v>
      </c>
      <c r="I8" s="1341" t="s">
        <v>1038</v>
      </c>
      <c r="J8" s="1341" t="s">
        <v>1039</v>
      </c>
      <c r="K8" s="1341" t="s">
        <v>158</v>
      </c>
      <c r="L8" s="1341" t="s">
        <v>159</v>
      </c>
      <c r="M8" s="1341" t="s">
        <v>160</v>
      </c>
      <c r="N8" s="1341" t="s">
        <v>245</v>
      </c>
      <c r="O8" s="1341" t="s">
        <v>304</v>
      </c>
      <c r="P8" s="1341" t="s">
        <v>350</v>
      </c>
      <c r="Q8" s="1341" t="s">
        <v>351</v>
      </c>
      <c r="R8" s="1341" t="s">
        <v>352</v>
      </c>
    </row>
    <row r="9" spans="1:23" ht="14.45" customHeight="1">
      <c r="A9" s="1346" t="s">
        <v>1040</v>
      </c>
      <c r="B9" s="2"/>
      <c r="C9" s="2"/>
      <c r="D9" s="2"/>
      <c r="E9" s="2"/>
      <c r="I9" s="1569" t="s">
        <v>1288</v>
      </c>
      <c r="J9" s="1569"/>
      <c r="K9" s="1570" t="s">
        <v>1041</v>
      </c>
      <c r="L9" s="1570"/>
      <c r="M9" s="1570"/>
      <c r="N9" s="1571" t="s">
        <v>1042</v>
      </c>
      <c r="O9" s="1571"/>
      <c r="P9" s="1569" t="s">
        <v>1289</v>
      </c>
      <c r="Q9" s="1569"/>
    </row>
    <row r="10" spans="1:23" ht="72">
      <c r="A10" s="1347" t="s">
        <v>1043</v>
      </c>
      <c r="B10" s="1349" t="s">
        <v>1236</v>
      </c>
      <c r="C10" s="1348" t="s">
        <v>1044</v>
      </c>
      <c r="D10" s="1349" t="s">
        <v>1045</v>
      </c>
      <c r="E10" s="1349" t="s">
        <v>1046</v>
      </c>
      <c r="F10" s="1349" t="s">
        <v>1237</v>
      </c>
      <c r="G10" s="1349" t="s">
        <v>1238</v>
      </c>
      <c r="H10" s="1349" t="s">
        <v>1047</v>
      </c>
      <c r="I10" s="1350" t="s">
        <v>1239</v>
      </c>
      <c r="J10" s="1350" t="s">
        <v>1240</v>
      </c>
      <c r="K10" s="1351" t="s">
        <v>1048</v>
      </c>
      <c r="L10" s="1454" t="s">
        <v>1244</v>
      </c>
      <c r="M10" s="1463" t="s">
        <v>1268</v>
      </c>
      <c r="N10" s="1351" t="s">
        <v>1241</v>
      </c>
      <c r="O10" s="1351" t="s">
        <v>1049</v>
      </c>
      <c r="P10" s="1350" t="s">
        <v>1242</v>
      </c>
      <c r="Q10" s="1350" t="s">
        <v>1243</v>
      </c>
      <c r="R10" s="1352" t="s">
        <v>1050</v>
      </c>
      <c r="S10" s="1353"/>
    </row>
    <row r="11" spans="1:23">
      <c r="B11" s="1340"/>
      <c r="D11" s="1354"/>
      <c r="E11" s="1354"/>
      <c r="F11" s="1354"/>
      <c r="G11" s="1354"/>
      <c r="H11" s="1354"/>
      <c r="I11" s="1355"/>
      <c r="J11" s="1355"/>
      <c r="K11" s="1355"/>
      <c r="L11" s="1355"/>
      <c r="M11" s="1355"/>
      <c r="N11" s="1355"/>
      <c r="O11" s="1355"/>
      <c r="P11" s="1572" t="s">
        <v>1051</v>
      </c>
      <c r="Q11" s="1572"/>
      <c r="R11" s="1356"/>
      <c r="S11" s="1353"/>
    </row>
    <row r="12" spans="1:23" ht="12.75">
      <c r="B12" s="1357" t="s">
        <v>1052</v>
      </c>
      <c r="C12" s="1358"/>
      <c r="D12" s="1358"/>
      <c r="E12" s="1358"/>
      <c r="F12" s="1358"/>
      <c r="G12" s="1358"/>
      <c r="H12" s="1358"/>
      <c r="I12" s="1358"/>
      <c r="J12" s="1358"/>
      <c r="K12" s="1358"/>
      <c r="L12" s="1358"/>
      <c r="M12" s="1358"/>
      <c r="N12" s="1358"/>
      <c r="O12" s="1358"/>
      <c r="P12" s="1358"/>
      <c r="Q12" s="1358"/>
      <c r="R12" s="1313"/>
      <c r="S12"/>
      <c r="T12" s="1313"/>
      <c r="U12" s="1313"/>
      <c r="V12" s="1313"/>
      <c r="W12" s="1313"/>
    </row>
    <row r="13" spans="1:23" ht="12.75">
      <c r="A13" s="1459" t="s">
        <v>1053</v>
      </c>
      <c r="B13" s="1359" t="s">
        <v>1054</v>
      </c>
      <c r="C13" s="1340" t="s">
        <v>1055</v>
      </c>
      <c r="D13" s="1319" t="s">
        <v>1056</v>
      </c>
      <c r="E13" s="1319" t="s">
        <v>1057</v>
      </c>
      <c r="F13" s="1360"/>
      <c r="G13" s="1319"/>
      <c r="H13" s="1319"/>
      <c r="I13" s="1317">
        <v>15718092.753580585</v>
      </c>
      <c r="J13" s="1361"/>
      <c r="K13" s="1317"/>
      <c r="L13" s="1317"/>
      <c r="M13" s="1317">
        <v>-655785.0436804099</v>
      </c>
      <c r="N13" s="1317"/>
      <c r="O13" s="1317"/>
      <c r="P13" s="1362">
        <f>SUM(I13:O13)</f>
        <v>15062307.709900174</v>
      </c>
      <c r="Q13" s="1363"/>
      <c r="R13" s="1318" t="s">
        <v>1248</v>
      </c>
      <c r="S13"/>
      <c r="T13" s="1313"/>
      <c r="U13" s="1313"/>
      <c r="V13" s="1313"/>
      <c r="W13" s="1313"/>
    </row>
    <row r="14" spans="1:23" ht="12.75">
      <c r="A14" s="1459" t="s">
        <v>1058</v>
      </c>
      <c r="B14" s="1359" t="s">
        <v>1245</v>
      </c>
      <c r="C14" s="1340" t="s">
        <v>1055</v>
      </c>
      <c r="D14" s="1319" t="s">
        <v>1071</v>
      </c>
      <c r="E14" s="1459" t="s">
        <v>1255</v>
      </c>
      <c r="F14" s="1360"/>
      <c r="G14" s="1319"/>
      <c r="H14" s="1319"/>
      <c r="I14" s="1317">
        <v>4610.1387280965282</v>
      </c>
      <c r="J14" s="1361"/>
      <c r="K14" s="1317"/>
      <c r="L14" s="1317"/>
      <c r="M14" s="1317">
        <v>0</v>
      </c>
      <c r="N14" s="1317"/>
      <c r="O14" s="1317"/>
      <c r="P14" s="1362">
        <f>SUM(I14:O14)</f>
        <v>4610.1387280965282</v>
      </c>
      <c r="Q14" s="1363"/>
      <c r="R14" s="1318"/>
      <c r="S14"/>
      <c r="T14" s="1313"/>
      <c r="U14" s="1313"/>
      <c r="V14" s="1313"/>
      <c r="W14" s="1313"/>
    </row>
    <row r="15" spans="1:23" s="1319" customFormat="1" ht="12.75">
      <c r="A15" s="1459" t="s">
        <v>1062</v>
      </c>
      <c r="B15" s="1359" t="s">
        <v>1059</v>
      </c>
      <c r="C15" s="1364" t="s">
        <v>1060</v>
      </c>
      <c r="D15" s="1364" t="s">
        <v>1061</v>
      </c>
      <c r="E15" s="1319" t="s">
        <v>1057</v>
      </c>
      <c r="F15" s="1365">
        <v>-21108640</v>
      </c>
      <c r="G15" s="1366" t="s">
        <v>1068</v>
      </c>
      <c r="H15" s="1366" t="s">
        <v>1069</v>
      </c>
      <c r="I15" s="1455"/>
      <c r="J15" s="1318">
        <v>-18497244.954794012</v>
      </c>
      <c r="K15" s="1320"/>
      <c r="L15" s="1320"/>
      <c r="M15" s="1320"/>
      <c r="N15" s="1320">
        <v>637574.14788590441</v>
      </c>
      <c r="O15" s="1320">
        <v>0</v>
      </c>
      <c r="P15" s="1363"/>
      <c r="Q15" s="1362">
        <f>SUM(J15:P15)</f>
        <v>-17859670.806908108</v>
      </c>
      <c r="R15" s="1318" t="s">
        <v>632</v>
      </c>
      <c r="S15"/>
      <c r="T15" s="1321"/>
      <c r="U15" s="1321"/>
      <c r="V15" s="1321"/>
      <c r="W15" s="1321"/>
    </row>
    <row r="16" spans="1:23" s="1319" customFormat="1" ht="12.75">
      <c r="A16" s="1459" t="s">
        <v>1065</v>
      </c>
      <c r="B16" s="1359" t="s">
        <v>1063</v>
      </c>
      <c r="C16" s="1364" t="s">
        <v>1064</v>
      </c>
      <c r="D16" s="1364" t="s">
        <v>1061</v>
      </c>
      <c r="E16" s="1319" t="s">
        <v>1057</v>
      </c>
      <c r="F16" s="1360"/>
      <c r="I16" s="1456">
        <v>18497242.954794012</v>
      </c>
      <c r="J16" s="1363"/>
      <c r="K16" s="1320"/>
      <c r="L16" s="1320"/>
      <c r="M16" s="1320">
        <v>-637574.14788590441</v>
      </c>
      <c r="N16" s="1320"/>
      <c r="O16" s="1320"/>
      <c r="P16" s="1362">
        <f>SUM(I16:O16)</f>
        <v>17859668.806908108</v>
      </c>
      <c r="Q16" s="1363"/>
      <c r="R16" s="1318" t="s">
        <v>1117</v>
      </c>
      <c r="S16"/>
      <c r="T16" s="1321"/>
      <c r="U16" s="1321"/>
      <c r="V16" s="1321"/>
      <c r="W16" s="1321"/>
    </row>
    <row r="17" spans="1:23" ht="12.75">
      <c r="A17" s="1459" t="s">
        <v>1070</v>
      </c>
      <c r="B17" s="1359" t="s">
        <v>1066</v>
      </c>
      <c r="C17" s="1340" t="s">
        <v>1067</v>
      </c>
      <c r="D17" s="1319" t="s">
        <v>1061</v>
      </c>
      <c r="E17" s="1319" t="s">
        <v>1057</v>
      </c>
      <c r="F17" s="1365">
        <v>-42122240</v>
      </c>
      <c r="G17" s="1366" t="s">
        <v>1068</v>
      </c>
      <c r="H17" s="1366" t="s">
        <v>1069</v>
      </c>
      <c r="I17" s="1455" t="s">
        <v>114</v>
      </c>
      <c r="J17" s="1322">
        <v>-35602441.00790599</v>
      </c>
      <c r="K17" s="1322"/>
      <c r="L17" s="1322"/>
      <c r="M17" s="1322"/>
      <c r="N17" s="1322">
        <v>848159.70481409878</v>
      </c>
      <c r="O17" s="1322">
        <v>0</v>
      </c>
      <c r="P17" s="1367" t="s">
        <v>114</v>
      </c>
      <c r="Q17" s="1323">
        <f>SUM(J17:O17)</f>
        <v>-34754281.303091891</v>
      </c>
      <c r="R17" s="1567" t="s">
        <v>1132</v>
      </c>
      <c r="S17"/>
      <c r="T17" s="1313"/>
      <c r="U17" s="1313"/>
      <c r="V17" s="1313"/>
      <c r="W17" s="1313"/>
    </row>
    <row r="18" spans="1:23" ht="12.75">
      <c r="A18" s="1459" t="s">
        <v>1074</v>
      </c>
      <c r="B18" s="1359" t="s">
        <v>1066</v>
      </c>
      <c r="C18" s="1340" t="s">
        <v>1067</v>
      </c>
      <c r="D18" s="1319" t="s">
        <v>1071</v>
      </c>
      <c r="E18" s="1319" t="s">
        <v>1057</v>
      </c>
      <c r="F18" s="1324">
        <v>-21950878</v>
      </c>
      <c r="G18" s="1366" t="s">
        <v>1072</v>
      </c>
      <c r="H18" s="1366" t="s">
        <v>1073</v>
      </c>
      <c r="I18" s="1455"/>
      <c r="J18" s="1320">
        <v>7347290.705582032</v>
      </c>
      <c r="K18" s="1320"/>
      <c r="L18" s="1320"/>
      <c r="M18" s="1320"/>
      <c r="N18" s="1320">
        <v>207990.01096591013</v>
      </c>
      <c r="O18" s="1320">
        <v>0</v>
      </c>
      <c r="P18" s="1368"/>
      <c r="Q18" s="1325">
        <f>SUM(J18:O18)</f>
        <v>7555280.7165479418</v>
      </c>
      <c r="R18" s="1567"/>
      <c r="S18"/>
      <c r="T18" s="1313"/>
      <c r="U18" s="1313"/>
      <c r="V18" s="1313"/>
      <c r="W18" s="1313"/>
    </row>
    <row r="19" spans="1:23" ht="12.75">
      <c r="A19" s="1459" t="s">
        <v>1077</v>
      </c>
      <c r="B19" s="1359" t="s">
        <v>1075</v>
      </c>
      <c r="C19" s="1340" t="s">
        <v>1076</v>
      </c>
      <c r="D19" s="1319" t="s">
        <v>1061</v>
      </c>
      <c r="E19" s="1319" t="s">
        <v>1057</v>
      </c>
      <c r="F19" s="1324"/>
      <c r="G19" s="1366"/>
      <c r="H19" s="1366"/>
      <c r="I19" s="1320">
        <v>35602213.00790599</v>
      </c>
      <c r="J19" s="1363"/>
      <c r="K19" s="1320"/>
      <c r="L19" s="1320"/>
      <c r="M19" s="1322">
        <v>-848159.70481409878</v>
      </c>
      <c r="N19" s="1320"/>
      <c r="O19" s="1320"/>
      <c r="P19" s="1369">
        <f>SUM(I19:O19)</f>
        <v>34754053.303091891</v>
      </c>
      <c r="Q19" s="1370"/>
      <c r="R19" s="1573" t="s">
        <v>1249</v>
      </c>
      <c r="S19"/>
      <c r="T19" s="1313"/>
      <c r="U19" s="1313"/>
      <c r="V19" s="1313"/>
      <c r="W19" s="1313"/>
    </row>
    <row r="20" spans="1:23" ht="12.75">
      <c r="A20" s="1459" t="s">
        <v>1078</v>
      </c>
      <c r="B20" s="1359" t="s">
        <v>1075</v>
      </c>
      <c r="C20" s="1340" t="s">
        <v>1076</v>
      </c>
      <c r="D20" s="1319" t="s">
        <v>1071</v>
      </c>
      <c r="E20" s="1319" t="s">
        <v>1057</v>
      </c>
      <c r="F20" s="1324"/>
      <c r="G20" s="1366"/>
      <c r="H20" s="1366"/>
      <c r="I20" s="1320">
        <v>-7347065.705582032</v>
      </c>
      <c r="J20" s="1363"/>
      <c r="K20" s="1320"/>
      <c r="L20" s="1320"/>
      <c r="M20" s="1320">
        <v>-207990.01096591013</v>
      </c>
      <c r="N20" s="1320"/>
      <c r="O20" s="1320"/>
      <c r="P20" s="1369">
        <f>SUM(I20:O20)</f>
        <v>-7555055.7165479418</v>
      </c>
      <c r="Q20" s="1370"/>
      <c r="R20" s="1573"/>
      <c r="S20"/>
      <c r="T20" s="1313"/>
      <c r="U20" s="1313"/>
      <c r="V20" s="1313"/>
      <c r="W20" s="1313"/>
    </row>
    <row r="21" spans="1:23" ht="12.75">
      <c r="A21" s="1459" t="s">
        <v>1081</v>
      </c>
      <c r="B21" s="1359" t="s">
        <v>1079</v>
      </c>
      <c r="C21" s="1340" t="s">
        <v>1080</v>
      </c>
      <c r="D21" s="1319" t="s">
        <v>1071</v>
      </c>
      <c r="E21" s="1319" t="s">
        <v>1057</v>
      </c>
      <c r="F21" s="1324">
        <v>-3151603</v>
      </c>
      <c r="G21" s="1366" t="s">
        <v>1072</v>
      </c>
      <c r="H21" s="1366" t="s">
        <v>1073</v>
      </c>
      <c r="I21" s="1455" t="s">
        <v>114</v>
      </c>
      <c r="J21" s="1320">
        <v>2285952.7716602189</v>
      </c>
      <c r="K21" s="1320"/>
      <c r="L21" s="1320"/>
      <c r="M21" s="1320"/>
      <c r="N21" s="1320">
        <v>-153865.35096591015</v>
      </c>
      <c r="O21" s="1320">
        <v>0</v>
      </c>
      <c r="P21" s="1368" t="s">
        <v>114</v>
      </c>
      <c r="Q21" s="1325">
        <f>SUM(J21:O21)</f>
        <v>2132087.4206943088</v>
      </c>
      <c r="R21" s="1326" t="s">
        <v>1250</v>
      </c>
      <c r="S21"/>
      <c r="T21" s="1313"/>
      <c r="U21" s="1313"/>
      <c r="V21" s="1313"/>
      <c r="W21" s="1313"/>
    </row>
    <row r="22" spans="1:23" ht="12.75">
      <c r="A22" s="1459" t="s">
        <v>1084</v>
      </c>
      <c r="B22" s="1359" t="s">
        <v>1079</v>
      </c>
      <c r="C22" s="1340" t="s">
        <v>1247</v>
      </c>
      <c r="D22" s="1319" t="s">
        <v>1071</v>
      </c>
      <c r="E22" s="1459" t="s">
        <v>1255</v>
      </c>
      <c r="F22" s="1324"/>
      <c r="G22" s="1366"/>
      <c r="H22" s="1366"/>
      <c r="I22" s="1455"/>
      <c r="J22" s="1320">
        <v>15222</v>
      </c>
      <c r="K22" s="1320"/>
      <c r="L22" s="1320"/>
      <c r="M22" s="1320"/>
      <c r="N22" s="1320">
        <v>0</v>
      </c>
      <c r="O22" s="1320">
        <v>0</v>
      </c>
      <c r="P22" s="1368"/>
      <c r="Q22" s="1325">
        <f>SUM(J22:O22)</f>
        <v>15222</v>
      </c>
      <c r="R22" s="1326"/>
      <c r="S22"/>
      <c r="T22" s="1313"/>
      <c r="U22" s="1313"/>
      <c r="V22" s="1313"/>
      <c r="W22" s="1313"/>
    </row>
    <row r="23" spans="1:23" ht="12.75">
      <c r="A23" s="1459" t="s">
        <v>1256</v>
      </c>
      <c r="B23" s="1458" t="s">
        <v>1253</v>
      </c>
      <c r="C23" s="1459" t="s">
        <v>1254</v>
      </c>
      <c r="D23" s="1319" t="s">
        <v>1071</v>
      </c>
      <c r="E23" s="1459" t="s">
        <v>1255</v>
      </c>
      <c r="F23" s="1324"/>
      <c r="G23" s="1366"/>
      <c r="H23" s="1366"/>
      <c r="I23" s="1455"/>
      <c r="J23" s="1320">
        <v>-72486.861271903472</v>
      </c>
      <c r="K23" s="1320"/>
      <c r="L23" s="1320"/>
      <c r="M23" s="1320"/>
      <c r="N23" s="1320"/>
      <c r="O23" s="1320">
        <v>0</v>
      </c>
      <c r="P23" s="1368"/>
      <c r="Q23" s="1325">
        <f>SUM(J23:O23)</f>
        <v>-72486.861271903472</v>
      </c>
      <c r="R23" s="1326"/>
      <c r="S23"/>
      <c r="T23" s="1313"/>
      <c r="U23" s="1313"/>
      <c r="V23" s="1313"/>
      <c r="W23" s="1313"/>
    </row>
    <row r="24" spans="1:23" ht="12.75">
      <c r="A24" s="1459" t="s">
        <v>1257</v>
      </c>
      <c r="B24" s="1371" t="s">
        <v>1082</v>
      </c>
      <c r="C24" s="1340" t="s">
        <v>1083</v>
      </c>
      <c r="D24" s="1319" t="s">
        <v>1071</v>
      </c>
      <c r="E24" s="1319" t="s">
        <v>1057</v>
      </c>
      <c r="F24" s="1365"/>
      <c r="G24" s="1366"/>
      <c r="H24" s="1366"/>
      <c r="I24" s="1320">
        <v>-2285954.7716602189</v>
      </c>
      <c r="J24" s="1370"/>
      <c r="K24" s="1320"/>
      <c r="L24" s="1320"/>
      <c r="M24" s="1320">
        <v>153865.35096591015</v>
      </c>
      <c r="N24" s="1320"/>
      <c r="O24" s="1320"/>
      <c r="P24" s="1369">
        <f>SUM(I24:O24)</f>
        <v>-2132089.4206943088</v>
      </c>
      <c r="Q24" s="1368"/>
      <c r="R24" s="1327" t="s">
        <v>1251</v>
      </c>
      <c r="S24"/>
      <c r="T24" s="1313"/>
      <c r="U24" s="1313"/>
      <c r="V24" s="1313"/>
      <c r="W24" s="1313"/>
    </row>
    <row r="25" spans="1:23" ht="12.75">
      <c r="A25" s="1459" t="s">
        <v>1258</v>
      </c>
      <c r="B25" s="1371" t="s">
        <v>1246</v>
      </c>
      <c r="C25" s="1340" t="s">
        <v>1083</v>
      </c>
      <c r="D25" s="1319" t="s">
        <v>1071</v>
      </c>
      <c r="E25" s="1459" t="s">
        <v>1255</v>
      </c>
      <c r="F25" s="1365"/>
      <c r="G25" s="1366"/>
      <c r="H25" s="1366"/>
      <c r="I25" s="1320">
        <v>72486.861271903472</v>
      </c>
      <c r="J25" s="1370"/>
      <c r="K25" s="1320"/>
      <c r="L25" s="1320"/>
      <c r="M25" s="1320">
        <v>0</v>
      </c>
      <c r="N25" s="1320"/>
      <c r="O25" s="1320"/>
      <c r="P25" s="1369">
        <f>SUM(I25:O25)</f>
        <v>72486.861271903472</v>
      </c>
      <c r="Q25" s="1368"/>
      <c r="R25" s="1327"/>
      <c r="S25"/>
      <c r="T25" s="1313"/>
      <c r="U25" s="1313"/>
      <c r="V25" s="1313"/>
      <c r="W25" s="1313"/>
    </row>
    <row r="26" spans="1:23" ht="12.75">
      <c r="A26" s="1459" t="s">
        <v>1259</v>
      </c>
      <c r="B26" s="1346" t="s">
        <v>1235</v>
      </c>
      <c r="D26" s="1319"/>
      <c r="E26" s="1319"/>
      <c r="F26" s="1365"/>
      <c r="G26" s="1366"/>
      <c r="H26" s="1366"/>
      <c r="I26" s="1320"/>
      <c r="J26" s="1320"/>
      <c r="K26" s="1320"/>
      <c r="L26" s="1320"/>
      <c r="M26" s="1320"/>
      <c r="N26" s="1320"/>
      <c r="O26" s="1320"/>
      <c r="P26" s="1372"/>
      <c r="Q26" s="1369"/>
      <c r="R26" s="1327"/>
      <c r="S26"/>
      <c r="T26" s="1313"/>
      <c r="U26" s="1313"/>
      <c r="V26" s="1313"/>
      <c r="W26" s="1313"/>
    </row>
    <row r="27" spans="1:23" ht="12.75">
      <c r="B27" s="1373"/>
      <c r="C27" s="1373"/>
      <c r="D27" s="1373"/>
      <c r="E27" s="1373"/>
      <c r="F27" s="1373"/>
      <c r="G27" s="1373"/>
      <c r="H27" s="1373"/>
      <c r="I27" s="1373"/>
      <c r="J27" s="1373"/>
      <c r="K27" s="1373"/>
      <c r="L27" s="1373"/>
      <c r="M27" s="1373"/>
      <c r="N27"/>
      <c r="O27"/>
      <c r="P27" s="1374"/>
      <c r="Q27"/>
      <c r="R27"/>
      <c r="S27"/>
      <c r="T27" s="1313"/>
      <c r="U27" s="1313"/>
      <c r="V27" s="1313"/>
      <c r="W27" s="1313"/>
    </row>
    <row r="28" spans="1:23" s="1313" customFormat="1" ht="12.75">
      <c r="A28" s="1340"/>
      <c r="B28" s="1357" t="s">
        <v>1085</v>
      </c>
      <c r="Q28" s="1328"/>
      <c r="R28" s="1329"/>
      <c r="S28"/>
    </row>
    <row r="29" spans="1:23" ht="11.45" customHeight="1">
      <c r="A29" s="1459" t="s">
        <v>1086</v>
      </c>
      <c r="B29" s="1371">
        <v>182.3</v>
      </c>
      <c r="C29" s="1376" t="s">
        <v>1087</v>
      </c>
      <c r="D29" s="1363" t="s">
        <v>114</v>
      </c>
      <c r="E29" s="1319" t="s">
        <v>1057</v>
      </c>
      <c r="F29" s="1363"/>
      <c r="G29" s="1363" t="s">
        <v>114</v>
      </c>
      <c r="H29" s="1363"/>
      <c r="I29" s="1330">
        <v>0</v>
      </c>
      <c r="J29" s="1363"/>
      <c r="K29" s="1320"/>
      <c r="L29" s="1320"/>
      <c r="M29" s="1320"/>
      <c r="N29" s="1363"/>
      <c r="O29" s="1363"/>
      <c r="P29" s="1372">
        <f>SUM(I29:O29)</f>
        <v>0</v>
      </c>
      <c r="Q29" s="1377"/>
      <c r="R29" s="1318" t="s">
        <v>1088</v>
      </c>
      <c r="S29"/>
      <c r="T29" s="1313"/>
      <c r="U29" s="1313"/>
      <c r="V29" s="1313"/>
      <c r="W29" s="1313"/>
    </row>
    <row r="30" spans="1:23" ht="11.45" customHeight="1">
      <c r="A30" s="1459" t="s">
        <v>1089</v>
      </c>
      <c r="B30" s="1371">
        <v>254</v>
      </c>
      <c r="C30" s="1376" t="s">
        <v>1090</v>
      </c>
      <c r="D30" s="1363" t="s">
        <v>114</v>
      </c>
      <c r="E30" s="1319" t="s">
        <v>1057</v>
      </c>
      <c r="F30" s="1363"/>
      <c r="G30" s="1363" t="s">
        <v>114</v>
      </c>
      <c r="H30" s="1363"/>
      <c r="I30" s="1330">
        <v>-60184528.239038333</v>
      </c>
      <c r="J30" s="1363"/>
      <c r="K30" s="1320"/>
      <c r="L30" s="1320"/>
      <c r="M30" s="1320">
        <v>2195643.5563804135</v>
      </c>
      <c r="N30" s="1363"/>
      <c r="O30" s="1363"/>
      <c r="P30" s="1372">
        <f>SUM(I30:O30)</f>
        <v>-57988884.68265792</v>
      </c>
      <c r="Q30" s="1377"/>
      <c r="R30" s="1318" t="s">
        <v>1088</v>
      </c>
      <c r="S30"/>
      <c r="T30" s="1313"/>
      <c r="U30" s="1313"/>
      <c r="V30" s="1313"/>
      <c r="W30" s="1313"/>
    </row>
    <row r="31" spans="1:23" ht="11.45" customHeight="1">
      <c r="A31" s="1459" t="s">
        <v>1091</v>
      </c>
      <c r="B31" s="1460">
        <v>254.00020000000001</v>
      </c>
      <c r="C31" s="1461" t="s">
        <v>1260</v>
      </c>
      <c r="D31" s="1363"/>
      <c r="E31" s="1459" t="s">
        <v>1255</v>
      </c>
      <c r="F31" s="1363"/>
      <c r="G31" s="1363"/>
      <c r="H31" s="1363"/>
      <c r="I31" s="1330">
        <v>-77097</v>
      </c>
      <c r="J31" s="1363"/>
      <c r="K31" s="1320"/>
      <c r="L31" s="1320"/>
      <c r="M31" s="1320">
        <f>-(M25+M14)</f>
        <v>0</v>
      </c>
      <c r="N31" s="1363"/>
      <c r="O31" s="1363"/>
      <c r="P31" s="1372">
        <f>SUM(I31:O31)</f>
        <v>-77097</v>
      </c>
      <c r="Q31" s="1377"/>
      <c r="R31" s="1318"/>
      <c r="S31"/>
      <c r="T31" s="1313"/>
      <c r="U31" s="1313"/>
      <c r="V31" s="1313"/>
      <c r="W31" s="1313"/>
    </row>
    <row r="32" spans="1:23" ht="11.45" customHeight="1">
      <c r="A32" s="1459" t="s">
        <v>1261</v>
      </c>
      <c r="B32" s="1346" t="s">
        <v>1235</v>
      </c>
      <c r="C32" s="1376"/>
      <c r="D32" s="1363"/>
      <c r="E32" s="1319"/>
      <c r="F32" s="1363"/>
      <c r="G32" s="1363"/>
      <c r="H32" s="1363"/>
      <c r="I32" s="1320"/>
      <c r="J32" s="1363"/>
      <c r="K32" s="1320"/>
      <c r="L32" s="1320"/>
      <c r="M32" s="1320"/>
      <c r="N32" s="1363"/>
      <c r="O32" s="1363"/>
      <c r="P32" s="1377"/>
      <c r="Q32" s="1377"/>
      <c r="R32" s="1318"/>
      <c r="S32"/>
      <c r="T32" s="1313"/>
      <c r="U32" s="1313"/>
      <c r="V32" s="1313"/>
      <c r="W32" s="1313"/>
    </row>
    <row r="33" spans="1:23">
      <c r="B33" s="1375"/>
      <c r="C33" s="1376"/>
      <c r="D33" s="1345"/>
      <c r="E33" s="1345"/>
      <c r="F33" s="1345"/>
      <c r="G33" s="1345"/>
      <c r="H33" s="1345"/>
      <c r="I33" s="1345"/>
      <c r="J33" s="1345"/>
      <c r="K33" s="1345"/>
      <c r="L33" s="1345"/>
      <c r="M33" s="1345"/>
      <c r="N33" s="1345"/>
      <c r="O33" s="1345"/>
      <c r="P33" s="1345"/>
      <c r="Q33" s="1345"/>
      <c r="R33" s="1378"/>
      <c r="S33" s="1328"/>
      <c r="T33" s="1313"/>
      <c r="U33" s="1313"/>
      <c r="V33" s="1313"/>
      <c r="W33" s="1313"/>
    </row>
    <row r="34" spans="1:23" ht="12.75" thickBot="1">
      <c r="A34" s="1462">
        <v>3</v>
      </c>
      <c r="B34" s="1568" t="str">
        <f>"Total For Accounting Entires (Sum of Lines "&amp;A13&amp;" through "&amp;A30&amp;")"</f>
        <v>Total For Accounting Entires (Sum of Lines 1a through 2b)</v>
      </c>
      <c r="C34" s="1568"/>
      <c r="D34" s="1363"/>
      <c r="E34" s="1363"/>
      <c r="F34" s="1331">
        <f>SUM(F13:F33)</f>
        <v>-88333361</v>
      </c>
      <c r="G34" s="1363"/>
      <c r="H34" s="1363"/>
      <c r="I34" s="1331">
        <f>SUM(I13:I33)</f>
        <v>1.4901161193847656E-8</v>
      </c>
      <c r="J34" s="1331">
        <f>SUM(J13:J33)</f>
        <v>-44523707.346729659</v>
      </c>
      <c r="K34" s="1332">
        <f>SUM(K13:K33)</f>
        <v>0</v>
      </c>
      <c r="L34" s="1332">
        <f>SUM(L13:L33)</f>
        <v>0</v>
      </c>
      <c r="M34" s="1331">
        <f>SUM(M13:M33)</f>
        <v>0</v>
      </c>
      <c r="N34" s="1333">
        <f>-SUM(N13:N33)</f>
        <v>-1539858.5127000031</v>
      </c>
      <c r="O34" s="1331">
        <f>-SUM(O13:O33)</f>
        <v>0</v>
      </c>
      <c r="P34" s="1332">
        <f>SUM(P13:P33)</f>
        <v>0</v>
      </c>
      <c r="Q34" s="1331">
        <f>SUM(Q13:Q33)</f>
        <v>-42983848.834029652</v>
      </c>
      <c r="R34" s="1380"/>
      <c r="S34" s="1328"/>
      <c r="T34" s="1313"/>
      <c r="U34" s="1313"/>
      <c r="V34" s="1313"/>
      <c r="W34" s="1313"/>
    </row>
    <row r="35" spans="1:23" ht="12.75" thickTop="1">
      <c r="B35" s="1375"/>
      <c r="C35" s="1376"/>
      <c r="D35" s="1345"/>
      <c r="E35" s="1345"/>
      <c r="F35" s="1381"/>
      <c r="G35" s="1345"/>
      <c r="H35" s="1345"/>
      <c r="I35" s="1334"/>
      <c r="J35" s="1324"/>
      <c r="K35" s="1335"/>
      <c r="L35" s="1335"/>
      <c r="M35" s="1335"/>
      <c r="N35" s="1336" t="s">
        <v>1109</v>
      </c>
      <c r="O35" s="1336"/>
      <c r="P35" s="1335"/>
      <c r="Q35" s="1337"/>
      <c r="R35" s="1380"/>
      <c r="S35" s="1328"/>
      <c r="T35" s="1313"/>
      <c r="U35" s="1313"/>
      <c r="V35" s="1313"/>
      <c r="W35" s="1313"/>
    </row>
    <row r="36" spans="1:23">
      <c r="A36" s="1346" t="s">
        <v>1092</v>
      </c>
      <c r="B36" s="1375"/>
      <c r="C36" s="1376"/>
      <c r="D36" s="1345"/>
      <c r="E36" s="1345"/>
      <c r="F36" s="1345"/>
      <c r="G36" s="1345"/>
      <c r="H36" s="1345"/>
      <c r="I36" s="1334"/>
      <c r="J36" s="1324"/>
      <c r="K36" s="1335"/>
      <c r="L36" s="1335"/>
      <c r="M36" s="1335"/>
      <c r="N36" s="1324"/>
      <c r="O36" s="1324"/>
      <c r="P36" s="1335"/>
      <c r="Q36" s="1337"/>
      <c r="R36" s="1380"/>
      <c r="S36" s="1328"/>
      <c r="T36" s="1313"/>
      <c r="U36" s="1313"/>
      <c r="V36" s="1313"/>
      <c r="W36" s="1313"/>
    </row>
    <row r="37" spans="1:23">
      <c r="B37" s="1340"/>
      <c r="D37" s="1354"/>
      <c r="E37" s="1354"/>
      <c r="F37" s="1354"/>
      <c r="G37" s="1354"/>
      <c r="H37" s="1354"/>
      <c r="I37" s="1355"/>
      <c r="J37" s="1355"/>
      <c r="K37" s="1355"/>
      <c r="L37" s="1355"/>
      <c r="M37" s="1355"/>
      <c r="N37" s="1355"/>
      <c r="O37" s="1355"/>
      <c r="P37" s="1572" t="s">
        <v>1051</v>
      </c>
      <c r="Q37" s="1572"/>
      <c r="R37" s="1352"/>
      <c r="S37" s="1328"/>
      <c r="T37" s="1313"/>
      <c r="U37" s="1313"/>
      <c r="V37" s="1313"/>
      <c r="W37" s="1313"/>
    </row>
    <row r="38" spans="1:23">
      <c r="B38" s="1357" t="s">
        <v>1052</v>
      </c>
      <c r="C38" s="1358"/>
      <c r="D38" s="1358"/>
      <c r="E38" s="1358"/>
      <c r="F38" s="1358"/>
      <c r="G38" s="1358"/>
      <c r="H38" s="1358"/>
      <c r="I38" s="1358"/>
      <c r="J38" s="1358"/>
      <c r="K38" s="1358"/>
      <c r="L38" s="1358"/>
      <c r="M38" s="1358"/>
      <c r="N38" s="1358"/>
      <c r="O38" s="1358"/>
      <c r="P38" s="1358"/>
      <c r="Q38" s="1358"/>
      <c r="R38" s="1313"/>
      <c r="S38" s="1328"/>
      <c r="T38" s="1313"/>
      <c r="U38" s="1313"/>
      <c r="V38" s="1313"/>
      <c r="W38" s="1313"/>
    </row>
    <row r="39" spans="1:23">
      <c r="A39" s="1459" t="s">
        <v>1093</v>
      </c>
      <c r="B39" s="1359" t="s">
        <v>1054</v>
      </c>
      <c r="C39" s="1340" t="s">
        <v>1055</v>
      </c>
      <c r="D39" s="1319" t="s">
        <v>1056</v>
      </c>
      <c r="E39" s="1459" t="s">
        <v>1057</v>
      </c>
      <c r="F39" s="1360"/>
      <c r="G39" s="1319"/>
      <c r="H39" s="1319"/>
      <c r="I39" s="1320">
        <v>3373401.4261827264</v>
      </c>
      <c r="J39" s="1370"/>
      <c r="K39" s="1320"/>
      <c r="L39" s="1320"/>
      <c r="M39" s="1320">
        <v>-80613.7278003674</v>
      </c>
      <c r="N39" s="1320"/>
      <c r="O39" s="1320"/>
      <c r="P39" s="1369">
        <f>SUM(I39:O39)</f>
        <v>3292787.698382359</v>
      </c>
      <c r="Q39" s="1363"/>
      <c r="R39" s="1318" t="s">
        <v>632</v>
      </c>
      <c r="S39" s="1328"/>
      <c r="T39" s="1313"/>
      <c r="U39" s="1313"/>
      <c r="V39" s="1313"/>
      <c r="W39" s="1313"/>
    </row>
    <row r="40" spans="1:23">
      <c r="A40" s="1459" t="s">
        <v>1094</v>
      </c>
      <c r="B40" s="1359" t="s">
        <v>1245</v>
      </c>
      <c r="C40" s="1340" t="s">
        <v>1055</v>
      </c>
      <c r="D40" s="1319" t="s">
        <v>1071</v>
      </c>
      <c r="E40" s="1459" t="s">
        <v>1255</v>
      </c>
      <c r="F40" s="1360"/>
      <c r="G40" s="1319"/>
      <c r="H40" s="1319"/>
      <c r="I40" s="1320">
        <v>326.62757598343887</v>
      </c>
      <c r="J40" s="1370"/>
      <c r="K40" s="1320"/>
      <c r="L40" s="1320"/>
      <c r="M40" s="1320">
        <v>0</v>
      </c>
      <c r="N40" s="1320"/>
      <c r="O40" s="1320"/>
      <c r="P40" s="1369">
        <f>SUM(I40:O40)</f>
        <v>326.62757598343887</v>
      </c>
      <c r="Q40" s="1363"/>
      <c r="R40" s="1318"/>
      <c r="S40" s="1328"/>
      <c r="T40" s="1313"/>
      <c r="U40" s="1313"/>
      <c r="V40" s="1313"/>
      <c r="W40" s="1313"/>
    </row>
    <row r="41" spans="1:23">
      <c r="A41" s="1459" t="s">
        <v>1095</v>
      </c>
      <c r="B41" s="1359" t="s">
        <v>1066</v>
      </c>
      <c r="C41" s="1340" t="s">
        <v>1067</v>
      </c>
      <c r="D41" s="1319" t="s">
        <v>1061</v>
      </c>
      <c r="E41" s="1459" t="s">
        <v>1057</v>
      </c>
      <c r="F41" s="1365">
        <v>-9984247</v>
      </c>
      <c r="G41" s="1366" t="s">
        <v>1068</v>
      </c>
      <c r="H41" s="1366" t="s">
        <v>1069</v>
      </c>
      <c r="I41" s="1363" t="s">
        <v>114</v>
      </c>
      <c r="J41" s="1320">
        <v>-9218596.0119000003</v>
      </c>
      <c r="K41" s="1320"/>
      <c r="L41" s="1320"/>
      <c r="M41" s="1320"/>
      <c r="N41" s="1320">
        <v>104984.61950000649</v>
      </c>
      <c r="O41" s="1320">
        <v>0</v>
      </c>
      <c r="P41" s="1368" t="s">
        <v>114</v>
      </c>
      <c r="Q41" s="1325">
        <f>SUM(J41:O41)</f>
        <v>-9113611.3923999947</v>
      </c>
      <c r="R41" s="1567" t="s">
        <v>1133</v>
      </c>
      <c r="S41" s="1328"/>
      <c r="T41" s="1313"/>
      <c r="U41" s="1313"/>
      <c r="V41" s="1313"/>
      <c r="W41" s="1313"/>
    </row>
    <row r="42" spans="1:23">
      <c r="A42" s="1459" t="s">
        <v>1096</v>
      </c>
      <c r="B42" s="1359" t="s">
        <v>1066</v>
      </c>
      <c r="C42" s="1340" t="s">
        <v>1067</v>
      </c>
      <c r="D42" s="1319" t="s">
        <v>1071</v>
      </c>
      <c r="E42" s="1459" t="s">
        <v>1057</v>
      </c>
      <c r="F42" s="1324">
        <v>-518040</v>
      </c>
      <c r="G42" s="1366" t="s">
        <v>1072</v>
      </c>
      <c r="H42" s="1366" t="s">
        <v>1073</v>
      </c>
      <c r="I42" s="1363"/>
      <c r="J42" s="1320">
        <v>-1247936.7119411537</v>
      </c>
      <c r="K42" s="1320"/>
      <c r="L42" s="1320"/>
      <c r="M42" s="1320"/>
      <c r="N42" s="1320">
        <v>207990.01096591013</v>
      </c>
      <c r="O42" s="1320">
        <v>0</v>
      </c>
      <c r="P42" s="1368"/>
      <c r="Q42" s="1325">
        <f>SUM(J42:O42)</f>
        <v>-1039946.7009752436</v>
      </c>
      <c r="R42" s="1567"/>
      <c r="S42" s="1328"/>
      <c r="T42" s="1313"/>
      <c r="U42" s="1313"/>
      <c r="V42" s="1313"/>
      <c r="W42" s="1313"/>
    </row>
    <row r="43" spans="1:23">
      <c r="A43" s="1459" t="s">
        <v>1097</v>
      </c>
      <c r="B43" s="1359" t="s">
        <v>1075</v>
      </c>
      <c r="C43" s="1340" t="s">
        <v>1076</v>
      </c>
      <c r="D43" s="1319" t="s">
        <v>1061</v>
      </c>
      <c r="E43" s="1459" t="s">
        <v>1057</v>
      </c>
      <c r="F43" s="1324"/>
      <c r="G43" s="1366"/>
      <c r="H43" s="1366"/>
      <c r="I43" s="1320">
        <v>9218597.0119000003</v>
      </c>
      <c r="J43" s="1363"/>
      <c r="K43" s="1320"/>
      <c r="L43" s="1320"/>
      <c r="M43" s="1320">
        <v>-104984.61950000649</v>
      </c>
      <c r="N43" s="1320"/>
      <c r="O43" s="1320"/>
      <c r="P43" s="1369">
        <f>SUM(I43:O43)</f>
        <v>9113612.3923999947</v>
      </c>
      <c r="Q43" s="1370"/>
      <c r="R43" s="1573" t="s">
        <v>632</v>
      </c>
      <c r="S43" s="1328"/>
      <c r="T43" s="1313"/>
      <c r="U43" s="1313"/>
      <c r="V43" s="1313"/>
      <c r="W43" s="1313"/>
    </row>
    <row r="44" spans="1:23">
      <c r="A44" s="1459" t="s">
        <v>1098</v>
      </c>
      <c r="B44" s="1359" t="s">
        <v>1075</v>
      </c>
      <c r="C44" s="1340" t="s">
        <v>1076</v>
      </c>
      <c r="D44" s="1319" t="s">
        <v>1071</v>
      </c>
      <c r="E44" s="1459" t="s">
        <v>1057</v>
      </c>
      <c r="F44" s="1324"/>
      <c r="G44" s="1366"/>
      <c r="H44" s="1366"/>
      <c r="I44" s="1320">
        <v>1247936.7119411537</v>
      </c>
      <c r="J44" s="1363"/>
      <c r="K44" s="1320"/>
      <c r="L44" s="1320"/>
      <c r="M44" s="1320">
        <v>-207990.01096591013</v>
      </c>
      <c r="N44" s="1320"/>
      <c r="O44" s="1320"/>
      <c r="P44" s="1369">
        <f>SUM(I44:O44)</f>
        <v>1039946.7009752436</v>
      </c>
      <c r="Q44" s="1370"/>
      <c r="R44" s="1573"/>
      <c r="S44" s="1328"/>
      <c r="T44" s="1313"/>
      <c r="U44" s="1313"/>
      <c r="V44" s="1313"/>
      <c r="W44" s="1313"/>
    </row>
    <row r="45" spans="1:23">
      <c r="A45" s="1459" t="s">
        <v>1099</v>
      </c>
      <c r="B45" s="1359" t="s">
        <v>1079</v>
      </c>
      <c r="C45" s="1340" t="s">
        <v>1080</v>
      </c>
      <c r="D45" s="1319" t="s">
        <v>1071</v>
      </c>
      <c r="E45" s="1459" t="s">
        <v>1057</v>
      </c>
      <c r="F45" s="1324">
        <v>351772</v>
      </c>
      <c r="G45" s="1366" t="s">
        <v>1072</v>
      </c>
      <c r="H45" s="1366" t="s">
        <v>1073</v>
      </c>
      <c r="I45" s="1363" t="s">
        <v>114</v>
      </c>
      <c r="J45" s="1320">
        <v>923186.60082798894</v>
      </c>
      <c r="K45" s="1320"/>
      <c r="L45" s="1320"/>
      <c r="M45" s="1320"/>
      <c r="N45" s="1320">
        <v>-153865.35096591015</v>
      </c>
      <c r="O45" s="1320">
        <v>-153865.35096591015</v>
      </c>
      <c r="P45" s="1368" t="s">
        <v>114</v>
      </c>
      <c r="Q45" s="1325">
        <f>SUM(J45:O45)</f>
        <v>615455.89889616868</v>
      </c>
      <c r="R45" s="1339" t="s">
        <v>1252</v>
      </c>
      <c r="S45" s="1328"/>
      <c r="T45" s="1313"/>
      <c r="U45" s="1313"/>
      <c r="V45" s="1313"/>
      <c r="W45" s="1313"/>
    </row>
    <row r="46" spans="1:23">
      <c r="A46" s="1459" t="s">
        <v>1100</v>
      </c>
      <c r="B46" s="1458" t="s">
        <v>1079</v>
      </c>
      <c r="C46" s="1459" t="s">
        <v>1262</v>
      </c>
      <c r="D46" s="1319" t="s">
        <v>1071</v>
      </c>
      <c r="E46" s="1459" t="s">
        <v>1255</v>
      </c>
      <c r="F46" s="1324"/>
      <c r="G46" s="1366"/>
      <c r="H46" s="1366"/>
      <c r="I46" s="1363"/>
      <c r="J46" s="1320">
        <v>1080</v>
      </c>
      <c r="K46" s="1320"/>
      <c r="L46" s="1320"/>
      <c r="M46" s="1320"/>
      <c r="N46" s="1320"/>
      <c r="O46" s="1320">
        <v>0</v>
      </c>
      <c r="P46" s="1368"/>
      <c r="Q46" s="1325">
        <f t="shared" ref="Q46:Q47" si="0">SUM(J46:O46)</f>
        <v>1080</v>
      </c>
      <c r="R46" s="1457"/>
      <c r="S46" s="1328"/>
      <c r="T46" s="1313"/>
      <c r="U46" s="1313"/>
      <c r="V46" s="1313"/>
      <c r="W46" s="1313"/>
    </row>
    <row r="47" spans="1:23">
      <c r="A47" s="1459" t="s">
        <v>1263</v>
      </c>
      <c r="B47" s="1458" t="s">
        <v>1253</v>
      </c>
      <c r="C47" s="1459" t="s">
        <v>1254</v>
      </c>
      <c r="D47" s="1319" t="s">
        <v>1071</v>
      </c>
      <c r="E47" s="1459" t="s">
        <v>1255</v>
      </c>
      <c r="F47" s="1324"/>
      <c r="G47" s="1366"/>
      <c r="H47" s="1366"/>
      <c r="I47" s="1363"/>
      <c r="J47" s="1320">
        <v>-5141.3724240165611</v>
      </c>
      <c r="K47" s="1320"/>
      <c r="L47" s="1320"/>
      <c r="M47" s="1320"/>
      <c r="N47" s="1320"/>
      <c r="O47" s="1320">
        <v>0</v>
      </c>
      <c r="P47" s="1368"/>
      <c r="Q47" s="1325">
        <f t="shared" si="0"/>
        <v>-5141.3724240165611</v>
      </c>
      <c r="R47" s="1457"/>
      <c r="S47" s="1328"/>
      <c r="T47" s="1313"/>
      <c r="U47" s="1313"/>
      <c r="V47" s="1313"/>
      <c r="W47" s="1313"/>
    </row>
    <row r="48" spans="1:23">
      <c r="A48" s="1459" t="s">
        <v>1264</v>
      </c>
      <c r="B48" s="1371" t="s">
        <v>1082</v>
      </c>
      <c r="C48" s="1340" t="s">
        <v>1083</v>
      </c>
      <c r="D48" s="1319" t="s">
        <v>1071</v>
      </c>
      <c r="E48" s="1459" t="s">
        <v>1057</v>
      </c>
      <c r="F48" s="1365"/>
      <c r="G48" s="1366"/>
      <c r="H48" s="1366"/>
      <c r="I48" s="1320">
        <v>-923186.60082798894</v>
      </c>
      <c r="J48" s="1370"/>
      <c r="K48" s="1320"/>
      <c r="L48" s="1320"/>
      <c r="M48" s="1320">
        <v>153865.35096591015</v>
      </c>
      <c r="N48" s="1320"/>
      <c r="O48" s="1320"/>
      <c r="P48" s="1369">
        <f>SUM(I48:O48)</f>
        <v>-769321.24986207881</v>
      </c>
      <c r="Q48" s="1368"/>
      <c r="R48" s="1457"/>
      <c r="S48" s="1328"/>
      <c r="T48" s="1313"/>
      <c r="U48" s="1313"/>
      <c r="V48" s="1313"/>
      <c r="W48" s="1313"/>
    </row>
    <row r="49" spans="1:23">
      <c r="A49" s="1459" t="s">
        <v>1265</v>
      </c>
      <c r="B49" s="1371" t="s">
        <v>1246</v>
      </c>
      <c r="C49" s="1340" t="s">
        <v>1083</v>
      </c>
      <c r="D49" s="1319" t="s">
        <v>1071</v>
      </c>
      <c r="E49" s="1459" t="s">
        <v>1255</v>
      </c>
      <c r="F49" s="1365"/>
      <c r="G49" s="1366"/>
      <c r="H49" s="1366"/>
      <c r="I49" s="1320">
        <v>5141.3724240165611</v>
      </c>
      <c r="J49" s="1370"/>
      <c r="K49" s="1320"/>
      <c r="L49" s="1320"/>
      <c r="M49" s="1320">
        <v>0</v>
      </c>
      <c r="N49" s="1320"/>
      <c r="O49" s="1320"/>
      <c r="P49" s="1369">
        <f>SUM(I49:O49)</f>
        <v>5141.3724240165611</v>
      </c>
      <c r="Q49" s="1368"/>
      <c r="R49" s="1318" t="s">
        <v>632</v>
      </c>
      <c r="S49" s="1328"/>
      <c r="T49" s="1313"/>
      <c r="U49" s="1313"/>
      <c r="V49" s="1313"/>
      <c r="W49" s="1313"/>
    </row>
    <row r="50" spans="1:23">
      <c r="A50" s="1459" t="s">
        <v>1266</v>
      </c>
      <c r="B50" s="1346" t="s">
        <v>1235</v>
      </c>
      <c r="D50" s="1319"/>
      <c r="E50" s="1319"/>
      <c r="F50" s="1365"/>
      <c r="G50" s="1366"/>
      <c r="H50" s="1366"/>
      <c r="I50" s="1320"/>
      <c r="J50" s="1320"/>
      <c r="K50" s="1320"/>
      <c r="L50" s="1320"/>
      <c r="M50" s="1320"/>
      <c r="N50" s="1320"/>
      <c r="O50" s="1320"/>
      <c r="P50" s="1372"/>
      <c r="Q50" s="1369"/>
      <c r="R50" s="1327"/>
      <c r="S50" s="1313"/>
      <c r="T50" s="1313"/>
      <c r="U50" s="1313"/>
      <c r="V50" s="1313"/>
      <c r="W50" s="1313"/>
    </row>
    <row r="51" spans="1:23" ht="12.75">
      <c r="B51" s="1373"/>
      <c r="C51" s="1373"/>
      <c r="D51" s="1373"/>
      <c r="E51" s="1373"/>
      <c r="F51" s="1373"/>
      <c r="G51" s="1373"/>
      <c r="H51" s="1373"/>
      <c r="I51" s="1373"/>
      <c r="J51" s="1373"/>
      <c r="K51" s="1373"/>
      <c r="L51" s="1373"/>
      <c r="M51" s="1373"/>
      <c r="N51"/>
      <c r="O51"/>
      <c r="P51"/>
      <c r="Q51"/>
      <c r="R51"/>
      <c r="S51" s="1313"/>
      <c r="T51" s="1313"/>
      <c r="U51" s="1313"/>
      <c r="V51" s="1313"/>
      <c r="W51" s="1313"/>
    </row>
    <row r="52" spans="1:23">
      <c r="B52" s="1357" t="s">
        <v>1085</v>
      </c>
      <c r="C52" s="1313"/>
      <c r="D52" s="1313"/>
      <c r="E52" s="1313"/>
      <c r="F52" s="1313"/>
      <c r="G52" s="1313"/>
      <c r="H52" s="1313"/>
      <c r="I52" s="1313"/>
      <c r="J52" s="1313"/>
      <c r="K52" s="1313"/>
      <c r="L52" s="1313"/>
      <c r="M52" s="1313"/>
      <c r="N52" s="1313"/>
      <c r="O52" s="1313"/>
      <c r="P52" s="1313"/>
      <c r="Q52" s="1328"/>
      <c r="R52" s="1338"/>
      <c r="S52" s="1313"/>
      <c r="T52" s="1313"/>
      <c r="U52" s="1313"/>
      <c r="V52" s="1313"/>
      <c r="W52" s="1313"/>
    </row>
    <row r="53" spans="1:23">
      <c r="A53" s="1340" t="s">
        <v>617</v>
      </c>
      <c r="B53" s="1371">
        <v>182.3</v>
      </c>
      <c r="C53" s="1376" t="s">
        <v>1087</v>
      </c>
      <c r="D53" s="1363" t="s">
        <v>114</v>
      </c>
      <c r="E53" s="1319" t="s">
        <v>1057</v>
      </c>
      <c r="F53" s="1363"/>
      <c r="G53" s="1363" t="s">
        <v>114</v>
      </c>
      <c r="H53" s="1363"/>
      <c r="I53" s="1330">
        <v>0</v>
      </c>
      <c r="J53" s="1363"/>
      <c r="K53" s="1320"/>
      <c r="L53" s="1320"/>
      <c r="M53" s="1320"/>
      <c r="N53" s="1363"/>
      <c r="O53" s="1363"/>
      <c r="P53" s="1372">
        <f>SUM(I53:O53)</f>
        <v>0</v>
      </c>
      <c r="Q53" s="1377"/>
      <c r="R53" s="1318" t="s">
        <v>1088</v>
      </c>
      <c r="S53" s="1313"/>
      <c r="T53" s="1313"/>
      <c r="U53" s="1313"/>
      <c r="V53" s="1313"/>
      <c r="W53" s="1313"/>
    </row>
    <row r="54" spans="1:23">
      <c r="A54" s="1340" t="s">
        <v>618</v>
      </c>
      <c r="B54" s="1371">
        <v>254</v>
      </c>
      <c r="C54" s="1376" t="s">
        <v>1090</v>
      </c>
      <c r="D54" s="1363" t="s">
        <v>114</v>
      </c>
      <c r="E54" s="1319" t="s">
        <v>1057</v>
      </c>
      <c r="F54" s="1363"/>
      <c r="G54" s="1363" t="s">
        <v>114</v>
      </c>
      <c r="H54" s="1363"/>
      <c r="I54" s="1330">
        <v>-12916748.549195891</v>
      </c>
      <c r="J54" s="1363"/>
      <c r="K54" s="1320"/>
      <c r="L54" s="1320"/>
      <c r="M54" s="1320">
        <v>239723.00730037384</v>
      </c>
      <c r="N54" s="1363"/>
      <c r="O54" s="1363"/>
      <c r="P54" s="1372">
        <f>SUM(I54:O54)</f>
        <v>-12677025.541895518</v>
      </c>
      <c r="Q54" s="1377"/>
      <c r="R54" s="1318" t="s">
        <v>1088</v>
      </c>
      <c r="S54" s="1313"/>
      <c r="T54" s="1313"/>
      <c r="U54" s="1313"/>
      <c r="V54" s="1313"/>
      <c r="W54" s="1313"/>
    </row>
    <row r="55" spans="1:23">
      <c r="A55" s="1340" t="s">
        <v>1101</v>
      </c>
      <c r="B55" s="1460">
        <v>254.00020000000001</v>
      </c>
      <c r="C55" s="1461" t="s">
        <v>1260</v>
      </c>
      <c r="D55" s="1363"/>
      <c r="E55" s="1319"/>
      <c r="F55" s="1363"/>
      <c r="G55" s="1363"/>
      <c r="H55" s="1363"/>
      <c r="I55" s="1330">
        <v>-5468</v>
      </c>
      <c r="J55" s="1363"/>
      <c r="K55" s="1320"/>
      <c r="L55" s="1320"/>
      <c r="M55" s="1320">
        <f>-(M40+M49)</f>
        <v>0</v>
      </c>
      <c r="N55" s="1363"/>
      <c r="O55" s="1363"/>
      <c r="P55" s="1372">
        <f>SUM(I55:O55)</f>
        <v>-5468</v>
      </c>
      <c r="Q55" s="1377"/>
      <c r="R55" s="1318"/>
      <c r="S55" s="1313"/>
      <c r="T55" s="1313"/>
      <c r="U55" s="1313"/>
      <c r="V55" s="1313"/>
      <c r="W55" s="1313"/>
    </row>
    <row r="56" spans="1:23">
      <c r="A56" s="1340" t="s">
        <v>1267</v>
      </c>
      <c r="B56" s="1346" t="s">
        <v>1235</v>
      </c>
      <c r="C56" s="1376"/>
      <c r="D56" s="1363"/>
      <c r="E56" s="1319"/>
      <c r="F56" s="1363"/>
      <c r="G56" s="1363"/>
      <c r="H56" s="1363"/>
      <c r="I56" s="1320"/>
      <c r="J56" s="1363"/>
      <c r="K56" s="1320"/>
      <c r="L56" s="1320"/>
      <c r="M56" s="1320"/>
      <c r="N56" s="1363"/>
      <c r="O56" s="1363"/>
      <c r="P56" s="1377"/>
      <c r="Q56" s="1377"/>
      <c r="R56" s="1318"/>
      <c r="S56" s="1313"/>
      <c r="T56" s="1313"/>
      <c r="U56" s="1313"/>
      <c r="V56" s="1313"/>
      <c r="W56" s="1313"/>
    </row>
    <row r="57" spans="1:23">
      <c r="B57" s="1375"/>
      <c r="C57" s="1376"/>
      <c r="D57" s="1345"/>
      <c r="E57" s="1345"/>
      <c r="F57" s="1345"/>
      <c r="G57" s="1345"/>
      <c r="H57" s="1345"/>
      <c r="I57" s="1345"/>
      <c r="J57" s="1345"/>
      <c r="K57" s="1345"/>
      <c r="L57" s="1345"/>
      <c r="M57" s="1345"/>
      <c r="N57" s="1345"/>
      <c r="O57" s="1345"/>
      <c r="P57" s="1345"/>
      <c r="Q57" s="1345"/>
      <c r="R57" s="1378"/>
      <c r="S57" s="1313"/>
      <c r="T57" s="1313"/>
      <c r="U57" s="1313"/>
      <c r="V57" s="1313"/>
      <c r="W57" s="1313"/>
    </row>
    <row r="58" spans="1:23" ht="12.75" thickBot="1">
      <c r="A58" s="1462">
        <v>6</v>
      </c>
      <c r="B58" s="1568" t="str">
        <f>"Total For Accounting Entires (Sum of Lines "&amp;A39&amp;" through "&amp;A54&amp;")"</f>
        <v>Total For Accounting Entires (Sum of Lines 4a through 5b)</v>
      </c>
      <c r="C58" s="1568"/>
      <c r="D58" s="1363"/>
      <c r="E58" s="1363"/>
      <c r="F58" s="1331">
        <f>SUM(F39:F57)</f>
        <v>-10150515</v>
      </c>
      <c r="G58" s="1363"/>
      <c r="H58" s="1363"/>
      <c r="I58" s="1331">
        <f>SUM(I37:I57)</f>
        <v>0</v>
      </c>
      <c r="J58" s="1331">
        <f>SUM(J37:J57)</f>
        <v>-9547407.4954371806</v>
      </c>
      <c r="K58" s="1332">
        <f>SUM(K39:K57)</f>
        <v>0</v>
      </c>
      <c r="L58" s="1332">
        <f>SUM(L39:L57)</f>
        <v>0</v>
      </c>
      <c r="M58" s="1331">
        <f>SUM(M39:M57)</f>
        <v>0</v>
      </c>
      <c r="N58" s="1333">
        <f>-SUM(N39:N57)</f>
        <v>-159109.27950000644</v>
      </c>
      <c r="O58" s="1331">
        <f>-SUM(O39:O57)</f>
        <v>153865.35096591015</v>
      </c>
      <c r="P58" s="1332">
        <f>SUM(P39:P57)</f>
        <v>0</v>
      </c>
      <c r="Q58" s="1331">
        <f>SUM(Q39:Q57)</f>
        <v>-9542163.5669030845</v>
      </c>
      <c r="R58" s="1380"/>
      <c r="S58" s="1313"/>
      <c r="T58" s="1313"/>
      <c r="U58" s="1313"/>
      <c r="V58" s="1313"/>
      <c r="W58" s="1313"/>
    </row>
    <row r="59" spans="1:23" ht="12.75" thickTop="1">
      <c r="B59" s="1375"/>
      <c r="C59" s="1376"/>
      <c r="D59" s="1345"/>
      <c r="E59" s="1345"/>
      <c r="F59" s="1345"/>
      <c r="G59" s="1345"/>
      <c r="H59" s="1345"/>
      <c r="I59" s="1334"/>
      <c r="J59" s="1324"/>
      <c r="K59" s="1335"/>
      <c r="L59" s="1335"/>
      <c r="M59" s="1335"/>
      <c r="N59" s="1336" t="s">
        <v>1109</v>
      </c>
      <c r="O59" s="1324"/>
      <c r="P59" s="1335"/>
      <c r="Q59" s="1337"/>
      <c r="R59" s="1380"/>
      <c r="S59" s="1313"/>
      <c r="T59" s="1313"/>
      <c r="U59" s="1313"/>
      <c r="V59" s="1313"/>
      <c r="W59" s="1313"/>
    </row>
    <row r="60" spans="1:23">
      <c r="B60" s="1375"/>
      <c r="C60" s="1376"/>
      <c r="D60" s="1345"/>
      <c r="E60" s="1345"/>
      <c r="F60" s="1345"/>
      <c r="G60" s="1345"/>
      <c r="H60" s="1345"/>
      <c r="I60" s="1334"/>
      <c r="J60" s="1324"/>
      <c r="K60" s="1335"/>
      <c r="L60" s="1335"/>
      <c r="M60" s="1335"/>
      <c r="N60" s="1324"/>
      <c r="O60" s="1324"/>
      <c r="P60" s="1335"/>
      <c r="Q60" s="1337"/>
      <c r="R60" s="1380"/>
      <c r="S60" s="1313"/>
      <c r="T60" s="1313"/>
      <c r="U60" s="1313"/>
      <c r="V60" s="1313"/>
      <c r="W60" s="1313"/>
    </row>
    <row r="61" spans="1:23" ht="18.600000000000001" customHeight="1">
      <c r="A61" s="1574" t="s">
        <v>1110</v>
      </c>
      <c r="B61" s="1574"/>
      <c r="C61" s="1574"/>
      <c r="D61" s="1574"/>
      <c r="E61" s="1574"/>
      <c r="F61" s="1574"/>
      <c r="G61" s="1574"/>
      <c r="H61" s="1574"/>
      <c r="I61" s="1574"/>
      <c r="J61" s="1574"/>
      <c r="K61" s="1335"/>
      <c r="L61" s="1335"/>
      <c r="M61" s="1335"/>
      <c r="N61" s="1324"/>
      <c r="O61" s="1324"/>
      <c r="P61" s="1335"/>
      <c r="Q61" s="1337"/>
      <c r="R61" s="1380"/>
      <c r="S61" s="1313"/>
      <c r="T61" s="1313"/>
      <c r="U61" s="1313"/>
      <c r="V61" s="1313"/>
      <c r="W61" s="1313"/>
    </row>
    <row r="62" spans="1:23" ht="23.1" customHeight="1">
      <c r="A62" s="1574"/>
      <c r="B62" s="1574"/>
      <c r="C62" s="1574"/>
      <c r="D62" s="1574"/>
      <c r="E62" s="1574"/>
      <c r="F62" s="1574"/>
      <c r="G62" s="1574"/>
      <c r="H62" s="1574"/>
      <c r="I62" s="1574"/>
      <c r="J62" s="1574"/>
      <c r="K62" s="1335"/>
      <c r="L62" s="1335"/>
      <c r="M62" s="1335"/>
      <c r="N62" s="1324"/>
      <c r="O62" s="1324"/>
      <c r="P62" s="1335"/>
      <c r="Q62" s="1337"/>
      <c r="R62" s="1380"/>
      <c r="S62" s="1313"/>
      <c r="T62" s="1313"/>
      <c r="U62" s="1313"/>
      <c r="V62" s="1313"/>
      <c r="W62" s="1313"/>
    </row>
    <row r="63" spans="1:23" ht="15" customHeight="1">
      <c r="B63" s="1375"/>
      <c r="C63" s="1376"/>
      <c r="D63" s="1345"/>
      <c r="E63" s="1345"/>
      <c r="F63" s="1345"/>
      <c r="G63" s="1345"/>
      <c r="H63" s="1345"/>
      <c r="I63" s="1334"/>
      <c r="J63" s="1324"/>
      <c r="K63" s="1335"/>
      <c r="L63" s="1335"/>
      <c r="M63" s="1335"/>
      <c r="N63" s="1324"/>
      <c r="O63" s="1324"/>
      <c r="P63" s="1335"/>
      <c r="Q63" s="1337"/>
      <c r="R63" s="1380"/>
      <c r="S63" s="1313"/>
      <c r="T63" s="1313"/>
      <c r="U63" s="1313"/>
      <c r="V63" s="1313"/>
      <c r="W63" s="1313"/>
    </row>
    <row r="64" spans="1:23">
      <c r="B64" s="1340"/>
      <c r="C64" s="1376"/>
      <c r="D64" s="1345"/>
      <c r="E64" s="1345"/>
      <c r="F64" s="1345"/>
      <c r="G64" s="1345"/>
      <c r="H64" s="1345"/>
      <c r="I64" s="1334"/>
      <c r="J64" s="1337"/>
      <c r="K64" s="1335"/>
      <c r="L64" s="1335"/>
      <c r="M64" s="1335"/>
      <c r="N64" s="1337"/>
      <c r="O64" s="1337"/>
      <c r="P64" s="1335"/>
      <c r="Q64" s="1337"/>
      <c r="R64" s="1380"/>
      <c r="S64" s="1313"/>
      <c r="T64" s="1313"/>
      <c r="U64" s="1313"/>
      <c r="V64" s="1313"/>
      <c r="W64" s="1313"/>
    </row>
    <row r="65" spans="1:11">
      <c r="A65" s="1382" t="s">
        <v>1102</v>
      </c>
      <c r="B65" s="1575" t="s">
        <v>1230</v>
      </c>
      <c r="C65" s="1575"/>
      <c r="D65" s="1575"/>
      <c r="E65" s="1575"/>
      <c r="F65" s="1575"/>
      <c r="G65" s="1575"/>
      <c r="H65" s="1575"/>
      <c r="I65" s="1575"/>
      <c r="J65" s="1575"/>
    </row>
    <row r="66" spans="1:11">
      <c r="B66" s="1575"/>
      <c r="C66" s="1575"/>
      <c r="D66" s="1575"/>
      <c r="E66" s="1575"/>
      <c r="F66" s="1575"/>
      <c r="G66" s="1575"/>
      <c r="H66" s="1575"/>
      <c r="I66" s="1575"/>
      <c r="J66" s="1575"/>
    </row>
    <row r="67" spans="1:11">
      <c r="B67" s="1575"/>
      <c r="C67" s="1575"/>
      <c r="D67" s="1575"/>
      <c r="E67" s="1575"/>
      <c r="F67" s="1575"/>
      <c r="G67" s="1575"/>
      <c r="H67" s="1575"/>
      <c r="I67" s="1575"/>
      <c r="J67" s="1575"/>
      <c r="K67" s="1382"/>
    </row>
    <row r="68" spans="1:11">
      <c r="B68" s="1575"/>
      <c r="C68" s="1575"/>
      <c r="D68" s="1575"/>
      <c r="E68" s="1575"/>
      <c r="F68" s="1575"/>
      <c r="G68" s="1575"/>
      <c r="H68" s="1575"/>
      <c r="I68" s="1575"/>
      <c r="J68" s="1575"/>
      <c r="K68" s="1382"/>
    </row>
    <row r="69" spans="1:11">
      <c r="B69" s="1575"/>
      <c r="C69" s="1575"/>
      <c r="D69" s="1575"/>
      <c r="E69" s="1575"/>
      <c r="F69" s="1575"/>
      <c r="G69" s="1575"/>
      <c r="H69" s="1575"/>
      <c r="I69" s="1575"/>
      <c r="J69" s="1575"/>
      <c r="K69" s="1382"/>
    </row>
    <row r="70" spans="1:11">
      <c r="B70" s="1383"/>
      <c r="C70" s="1383"/>
      <c r="D70" s="1383"/>
      <c r="E70" s="1383"/>
      <c r="F70" s="1383"/>
      <c r="G70" s="1383"/>
      <c r="H70" s="1383"/>
      <c r="I70" s="1383"/>
      <c r="J70" s="1383"/>
      <c r="K70" s="1382"/>
    </row>
    <row r="71" spans="1:11">
      <c r="A71" s="1340" t="s">
        <v>1103</v>
      </c>
      <c r="B71" s="1385" t="s">
        <v>1104</v>
      </c>
      <c r="C71" s="1385"/>
      <c r="D71" s="1385"/>
      <c r="E71" s="1385"/>
      <c r="F71" s="1385"/>
      <c r="G71" s="1385"/>
      <c r="H71" s="1385"/>
      <c r="I71" s="1385"/>
      <c r="J71" s="1385"/>
      <c r="K71" s="1382"/>
    </row>
    <row r="72" spans="1:11">
      <c r="B72" s="1385"/>
      <c r="C72" s="1385"/>
      <c r="D72" s="1385"/>
      <c r="E72" s="1385"/>
      <c r="F72" s="1385"/>
      <c r="G72" s="1385"/>
      <c r="H72" s="1385"/>
      <c r="I72" s="1385"/>
      <c r="J72" s="1385"/>
      <c r="K72" s="1382"/>
    </row>
    <row r="73" spans="1:11">
      <c r="A73" s="1340" t="s">
        <v>1105</v>
      </c>
      <c r="B73" s="1575" t="s">
        <v>1231</v>
      </c>
      <c r="C73" s="1575"/>
      <c r="D73" s="1575"/>
      <c r="E73" s="1575"/>
      <c r="F73" s="1575"/>
      <c r="G73" s="1575"/>
      <c r="H73" s="1575"/>
      <c r="I73" s="1575"/>
      <c r="J73" s="1575"/>
      <c r="K73" s="1382"/>
    </row>
    <row r="74" spans="1:11">
      <c r="B74" s="1575"/>
      <c r="C74" s="1575"/>
      <c r="D74" s="1575"/>
      <c r="E74" s="1575"/>
      <c r="F74" s="1575"/>
      <c r="G74" s="1575"/>
      <c r="H74" s="1575"/>
      <c r="I74" s="1575"/>
      <c r="J74" s="1575"/>
      <c r="K74" s="1382"/>
    </row>
    <row r="75" spans="1:11">
      <c r="B75" s="1383"/>
      <c r="C75" s="1383"/>
      <c r="D75" s="1383"/>
      <c r="E75" s="1383"/>
      <c r="F75" s="1383"/>
      <c r="G75" s="1383"/>
      <c r="H75" s="1383"/>
      <c r="I75" s="1383"/>
      <c r="J75" s="1383"/>
      <c r="K75" s="1382"/>
    </row>
    <row r="76" spans="1:11">
      <c r="A76" s="1340" t="s">
        <v>1106</v>
      </c>
      <c r="B76" s="1453" t="s">
        <v>1232</v>
      </c>
      <c r="C76" s="1453"/>
      <c r="D76" s="1453"/>
      <c r="E76" s="1453"/>
      <c r="F76" s="1453"/>
      <c r="G76" s="1453"/>
      <c r="H76" s="1453"/>
      <c r="I76" s="1453"/>
      <c r="J76" s="1453"/>
      <c r="K76" s="1382"/>
    </row>
    <row r="77" spans="1:11">
      <c r="B77" s="1386"/>
      <c r="C77" s="1383"/>
      <c r="D77" s="1383"/>
      <c r="E77" s="1383"/>
      <c r="F77" s="1383"/>
      <c r="G77" s="1383"/>
      <c r="H77" s="1383"/>
      <c r="I77" s="1383"/>
      <c r="J77" s="1383"/>
      <c r="K77" s="1382"/>
    </row>
    <row r="78" spans="1:11">
      <c r="A78" s="1379" t="s">
        <v>1107</v>
      </c>
      <c r="B78" s="1575" t="s">
        <v>1233</v>
      </c>
      <c r="C78" s="1575"/>
      <c r="D78" s="1575"/>
      <c r="E78" s="1575"/>
      <c r="F78" s="1575"/>
      <c r="G78" s="1575"/>
      <c r="H78" s="1575"/>
      <c r="I78" s="1575"/>
      <c r="J78" s="1383"/>
    </row>
    <row r="79" spans="1:11">
      <c r="B79" s="1575"/>
      <c r="C79" s="1575"/>
      <c r="D79" s="1575"/>
      <c r="E79" s="1575"/>
      <c r="F79" s="1575"/>
      <c r="G79" s="1575"/>
      <c r="H79" s="1575"/>
      <c r="I79" s="1575"/>
      <c r="J79" s="1383"/>
    </row>
    <row r="81" spans="1:11">
      <c r="A81" s="1379" t="s">
        <v>1111</v>
      </c>
      <c r="B81" s="1575" t="s">
        <v>1234</v>
      </c>
      <c r="C81" s="1575"/>
      <c r="D81" s="1575"/>
      <c r="E81" s="1575"/>
      <c r="F81" s="1575"/>
      <c r="G81" s="1575"/>
      <c r="H81" s="1575"/>
      <c r="I81" s="1575"/>
    </row>
    <row r="82" spans="1:11">
      <c r="B82" s="1575"/>
      <c r="C82" s="1575"/>
      <c r="D82" s="1575"/>
      <c r="E82" s="1575"/>
      <c r="F82" s="1575"/>
      <c r="G82" s="1575"/>
      <c r="H82" s="1575"/>
      <c r="I82" s="1575"/>
    </row>
    <row r="84" spans="1:11">
      <c r="B84" s="1379"/>
    </row>
    <row r="85" spans="1:11">
      <c r="B85" s="1316"/>
    </row>
    <row r="86" spans="1:11">
      <c r="B86" s="1316"/>
    </row>
    <row r="87" spans="1:11">
      <c r="B87" s="1316"/>
    </row>
    <row r="88" spans="1:11">
      <c r="B88" s="1316"/>
      <c r="D88" s="1353"/>
      <c r="E88" s="1353"/>
      <c r="F88" s="1353"/>
    </row>
    <row r="89" spans="1:11">
      <c r="A89" s="1387"/>
      <c r="B89" s="1382"/>
      <c r="C89" s="1382"/>
      <c r="D89" s="1382"/>
      <c r="E89" s="1382"/>
      <c r="F89" s="1382"/>
      <c r="G89" s="1382"/>
      <c r="H89" s="1382"/>
      <c r="I89" s="1382"/>
      <c r="J89" s="1382"/>
      <c r="K89" s="1382"/>
    </row>
    <row r="90" spans="1:11">
      <c r="A90" s="1382"/>
      <c r="B90" s="1382"/>
      <c r="C90" s="1382"/>
      <c r="D90" s="1382"/>
      <c r="E90" s="1382"/>
      <c r="F90" s="1382"/>
      <c r="G90" s="1382"/>
      <c r="H90" s="1382"/>
      <c r="I90" s="1382"/>
      <c r="J90" s="1382"/>
      <c r="K90" s="1382"/>
    </row>
    <row r="91" spans="1:11">
      <c r="A91" s="1382"/>
      <c r="B91" s="1382"/>
      <c r="C91" s="1382"/>
      <c r="D91" s="1382"/>
      <c r="E91" s="1382"/>
      <c r="F91" s="1382"/>
      <c r="G91" s="1382"/>
      <c r="H91" s="1382"/>
      <c r="I91" s="1382"/>
      <c r="J91" s="1382"/>
      <c r="K91" s="1382"/>
    </row>
    <row r="92" spans="1:11">
      <c r="A92" s="1382"/>
      <c r="B92" s="1382"/>
      <c r="C92" s="1382"/>
      <c r="D92" s="1382"/>
      <c r="E92" s="1382"/>
      <c r="F92" s="1382"/>
      <c r="G92" s="1382"/>
      <c r="H92" s="1382"/>
      <c r="I92" s="1382"/>
      <c r="J92" s="1382"/>
      <c r="K92" s="1382"/>
    </row>
    <row r="93" spans="1:11">
      <c r="A93" s="1382"/>
      <c r="B93" s="1382"/>
      <c r="C93" s="1382"/>
      <c r="D93" s="1388"/>
      <c r="E93" s="1388"/>
      <c r="F93" s="1388"/>
      <c r="G93" s="1382"/>
      <c r="H93" s="1382"/>
      <c r="I93" s="1382"/>
      <c r="J93" s="1382"/>
      <c r="K93" s="1382"/>
    </row>
    <row r="94" spans="1:11">
      <c r="A94" s="1382"/>
      <c r="B94" s="1382"/>
      <c r="C94" s="1382"/>
      <c r="D94" s="1384"/>
      <c r="E94" s="1384"/>
      <c r="F94" s="1384"/>
      <c r="G94" s="1382"/>
      <c r="H94" s="1382"/>
      <c r="I94" s="1382"/>
      <c r="J94" s="1382"/>
      <c r="K94" s="1382"/>
    </row>
    <row r="95" spans="1:11">
      <c r="A95" s="1382"/>
      <c r="B95" s="1382"/>
      <c r="C95" s="1382"/>
      <c r="D95" s="1388"/>
      <c r="E95" s="1388"/>
      <c r="F95" s="1388"/>
      <c r="G95" s="1382"/>
      <c r="H95" s="1382"/>
      <c r="I95" s="1382"/>
      <c r="J95" s="1382"/>
      <c r="K95" s="1382"/>
    </row>
    <row r="96" spans="1:11">
      <c r="A96" s="1382"/>
      <c r="B96" s="1382"/>
      <c r="C96" s="1382"/>
      <c r="D96" s="1382"/>
      <c r="E96" s="1382"/>
      <c r="F96" s="1382"/>
      <c r="G96" s="1382"/>
      <c r="H96" s="1382"/>
      <c r="I96" s="1382"/>
      <c r="J96" s="1382"/>
      <c r="K96" s="1382"/>
    </row>
    <row r="97" spans="1:11">
      <c r="A97" s="1382"/>
      <c r="B97" s="1382"/>
      <c r="C97" s="1382"/>
      <c r="D97" s="1382"/>
      <c r="E97" s="1382"/>
      <c r="F97" s="1382"/>
      <c r="G97" s="1382"/>
      <c r="H97" s="1382"/>
      <c r="I97" s="1382"/>
      <c r="J97" s="1382"/>
      <c r="K97" s="1382"/>
    </row>
    <row r="98" spans="1:11">
      <c r="A98" s="1382"/>
      <c r="B98" s="1382"/>
      <c r="C98" s="1382"/>
      <c r="D98" s="1382"/>
      <c r="E98" s="1382"/>
      <c r="F98" s="1382"/>
      <c r="G98" s="1382"/>
      <c r="H98" s="1382"/>
      <c r="I98" s="1382"/>
      <c r="J98" s="1382"/>
      <c r="K98" s="1382"/>
    </row>
    <row r="99" spans="1:11">
      <c r="A99" s="1382"/>
      <c r="C99" s="1382"/>
      <c r="D99" s="1382"/>
      <c r="E99" s="1382"/>
      <c r="F99" s="1382"/>
      <c r="G99" s="1382"/>
      <c r="H99" s="1382"/>
      <c r="I99" s="1382"/>
      <c r="J99" s="1382"/>
      <c r="K99" s="1382"/>
    </row>
    <row r="100" spans="1:11">
      <c r="A100" s="1382"/>
      <c r="B100" s="1382"/>
      <c r="C100" s="1382"/>
      <c r="D100" s="1382"/>
      <c r="E100" s="1382"/>
      <c r="F100" s="1382"/>
      <c r="G100" s="1382"/>
      <c r="H100" s="1382"/>
      <c r="I100" s="1382"/>
      <c r="J100" s="1382"/>
      <c r="K100" s="1382"/>
    </row>
    <row r="101" spans="1:11">
      <c r="A101" s="1382"/>
      <c r="B101" s="1382"/>
      <c r="C101" s="1382"/>
      <c r="D101" s="1382"/>
      <c r="E101" s="1382"/>
      <c r="F101" s="1382"/>
      <c r="G101" s="1382"/>
      <c r="H101" s="1382"/>
      <c r="I101" s="1382"/>
      <c r="J101" s="1382"/>
      <c r="K101" s="1382"/>
    </row>
  </sheetData>
  <mergeCells count="17">
    <mergeCell ref="A61:J62"/>
    <mergeCell ref="B65:J69"/>
    <mergeCell ref="B73:J74"/>
    <mergeCell ref="B78:I79"/>
    <mergeCell ref="B81:I82"/>
    <mergeCell ref="R17:R18"/>
    <mergeCell ref="B58:C58"/>
    <mergeCell ref="I9:J9"/>
    <mergeCell ref="K9:M9"/>
    <mergeCell ref="N9:O9"/>
    <mergeCell ref="P9:Q9"/>
    <mergeCell ref="P11:Q11"/>
    <mergeCell ref="R19:R20"/>
    <mergeCell ref="B34:C34"/>
    <mergeCell ref="P37:Q37"/>
    <mergeCell ref="R41:R42"/>
    <mergeCell ref="R43:R44"/>
  </mergeCells>
  <pageMargins left="0.7" right="0.7" top="0.75" bottom="0.75" header="0.3" footer="0.3"/>
  <pageSetup scale="4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9">
    <pageSetUpPr fitToPage="1"/>
  </sheetPr>
  <dimension ref="A1:Q65"/>
  <sheetViews>
    <sheetView view="pageBreakPreview" zoomScale="60" zoomScaleNormal="100" workbookViewId="0">
      <selection activeCell="Q63" sqref="Q63"/>
    </sheetView>
  </sheetViews>
  <sheetFormatPr defaultColWidth="11.85546875" defaultRowHeight="12.75"/>
  <cols>
    <col min="1" max="1" width="9" style="1410" customWidth="1"/>
    <col min="2" max="2" width="15" style="1411" bestFit="1" customWidth="1"/>
    <col min="3" max="3" width="4.140625" style="1411" customWidth="1"/>
    <col min="4" max="4" width="21" style="1411" bestFit="1" customWidth="1"/>
    <col min="5" max="5" width="29.7109375" style="1411" bestFit="1" customWidth="1"/>
    <col min="6" max="6" width="21.42578125" style="1411" customWidth="1"/>
    <col min="7" max="7" width="2.7109375" style="1411" customWidth="1"/>
    <col min="8" max="8" width="16.85546875" style="1411" customWidth="1"/>
    <col min="9" max="9" width="5.42578125" style="1411" customWidth="1"/>
    <col min="10" max="10" width="17.42578125" style="1411" customWidth="1"/>
    <col min="11" max="11" width="3.5703125" style="1411" customWidth="1"/>
    <col min="12" max="12" width="20.5703125" style="1411" customWidth="1"/>
    <col min="13" max="13" width="16" style="1411" customWidth="1"/>
    <col min="14" max="14" width="19.140625" style="1411" bestFit="1" customWidth="1"/>
    <col min="15" max="15" width="16" style="1414" bestFit="1" customWidth="1"/>
    <col min="16" max="16" width="15.28515625" style="1411" bestFit="1" customWidth="1"/>
    <col min="17" max="16384" width="11.85546875" style="1411"/>
  </cols>
  <sheetData>
    <row r="1" spans="1:17" ht="15">
      <c r="A1" s="1410" t="s">
        <v>1184</v>
      </c>
      <c r="L1" s="1412"/>
      <c r="N1" s="1413" t="s">
        <v>1185</v>
      </c>
    </row>
    <row r="2" spans="1:17">
      <c r="A2" s="1415" t="s">
        <v>803</v>
      </c>
      <c r="L2" s="1416"/>
      <c r="N2" s="1416" t="s">
        <v>1186</v>
      </c>
    </row>
    <row r="3" spans="1:17">
      <c r="A3" s="1410" t="s">
        <v>1187</v>
      </c>
      <c r="N3" s="1416" t="s">
        <v>1188</v>
      </c>
    </row>
    <row r="4" spans="1:17">
      <c r="A4" s="1410" t="s">
        <v>1189</v>
      </c>
      <c r="N4" s="1413" t="s">
        <v>1190</v>
      </c>
    </row>
    <row r="5" spans="1:17">
      <c r="A5" s="1410" t="s">
        <v>1191</v>
      </c>
    </row>
    <row r="6" spans="1:17">
      <c r="A6" s="1410" t="s">
        <v>1037</v>
      </c>
    </row>
    <row r="7" spans="1:17">
      <c r="A7" s="1577" t="s">
        <v>1192</v>
      </c>
      <c r="B7" s="1577"/>
      <c r="C7" s="1577"/>
      <c r="D7" s="1577"/>
      <c r="E7" s="1577"/>
      <c r="F7" s="1577"/>
      <c r="G7" s="1577"/>
      <c r="H7" s="1577"/>
      <c r="I7" s="1577"/>
      <c r="J7" s="1577"/>
      <c r="K7" s="1577"/>
      <c r="L7" s="1577"/>
      <c r="M7" s="1577"/>
      <c r="N7" s="1577"/>
      <c r="O7" s="1417"/>
    </row>
    <row r="8" spans="1:17">
      <c r="B8" s="1411" t="s">
        <v>1193</v>
      </c>
    </row>
    <row r="9" spans="1:17">
      <c r="A9" s="1418" t="s">
        <v>148</v>
      </c>
      <c r="B9" s="1419" t="s">
        <v>149</v>
      </c>
      <c r="C9" s="1419"/>
      <c r="D9" s="1419" t="s">
        <v>150</v>
      </c>
      <c r="E9" s="1419" t="s">
        <v>151</v>
      </c>
      <c r="F9" s="1419" t="s">
        <v>152</v>
      </c>
      <c r="G9" s="1419"/>
      <c r="H9" s="1419" t="s">
        <v>1194</v>
      </c>
      <c r="I9" s="1419"/>
      <c r="J9" s="1419" t="s">
        <v>154</v>
      </c>
      <c r="K9" s="1419"/>
      <c r="L9" s="1419" t="s">
        <v>1195</v>
      </c>
      <c r="M9" s="1419" t="s">
        <v>156</v>
      </c>
      <c r="N9" s="1419" t="s">
        <v>1196</v>
      </c>
      <c r="Q9" s="1578"/>
    </row>
    <row r="10" spans="1:17" ht="15">
      <c r="F10" s="1420"/>
      <c r="G10" s="1420"/>
      <c r="H10" s="1420"/>
      <c r="I10" s="1421"/>
      <c r="J10" s="1421"/>
      <c r="K10" s="1421"/>
      <c r="Q10" s="1578"/>
    </row>
    <row r="11" spans="1:17" ht="38.25">
      <c r="A11" s="1410" t="s">
        <v>1197</v>
      </c>
      <c r="B11" s="1411" t="s">
        <v>1198</v>
      </c>
      <c r="D11" s="1422" t="s">
        <v>1199</v>
      </c>
      <c r="E11" s="1419" t="s">
        <v>1050</v>
      </c>
      <c r="F11" s="1423" t="s">
        <v>1200</v>
      </c>
      <c r="G11" s="1423"/>
      <c r="H11" s="1423" t="s">
        <v>1201</v>
      </c>
      <c r="I11" s="1420"/>
      <c r="J11" s="1423" t="s">
        <v>1202</v>
      </c>
      <c r="K11" s="1421"/>
      <c r="L11" s="1423" t="s">
        <v>1203</v>
      </c>
      <c r="M11" s="1422" t="s">
        <v>1204</v>
      </c>
      <c r="N11" s="1422" t="s">
        <v>1205</v>
      </c>
    </row>
    <row r="12" spans="1:17" ht="15">
      <c r="D12" s="1422"/>
      <c r="E12" s="1419"/>
      <c r="F12" s="1423"/>
      <c r="G12" s="1423"/>
      <c r="H12" s="1423"/>
      <c r="I12" s="1420"/>
      <c r="J12" s="1423"/>
      <c r="K12" s="1421"/>
      <c r="L12" s="1423"/>
      <c r="N12" s="1424"/>
    </row>
    <row r="13" spans="1:17" ht="15">
      <c r="A13" s="1425" t="s">
        <v>1206</v>
      </c>
      <c r="D13" s="1422"/>
      <c r="E13" s="1419"/>
      <c r="F13" s="1423"/>
      <c r="G13" s="1423"/>
      <c r="H13" s="1423"/>
      <c r="I13" s="1420"/>
      <c r="J13" s="1423"/>
      <c r="K13" s="1421"/>
      <c r="L13" s="1423"/>
      <c r="N13" s="1423"/>
    </row>
    <row r="14" spans="1:17">
      <c r="D14" s="1414"/>
      <c r="E14" s="1414"/>
      <c r="F14" s="1426"/>
      <c r="G14" s="1426"/>
      <c r="H14" s="1426"/>
      <c r="I14" s="1426"/>
      <c r="J14" s="1426"/>
      <c r="K14" s="1426"/>
      <c r="L14" s="1426"/>
      <c r="M14" s="1414"/>
      <c r="N14" s="1426"/>
    </row>
    <row r="15" spans="1:17">
      <c r="A15" s="1427">
        <v>1</v>
      </c>
      <c r="B15" s="1428" t="s">
        <v>1207</v>
      </c>
      <c r="D15" s="1414">
        <v>11067842</v>
      </c>
      <c r="E15" s="1414" t="s">
        <v>1208</v>
      </c>
      <c r="F15" s="1426">
        <v>4420720.4099999992</v>
      </c>
      <c r="G15" s="1426"/>
      <c r="H15" s="1429">
        <f>+F15/D15</f>
        <v>0.39942026729329883</v>
      </c>
      <c r="I15" s="1430"/>
      <c r="J15" s="1426">
        <f>-F15</f>
        <v>-4420720.4099999992</v>
      </c>
      <c r="K15" s="1426"/>
      <c r="L15" s="1426">
        <f>+F15+J15</f>
        <v>0</v>
      </c>
      <c r="M15" s="1414"/>
      <c r="N15" s="1426">
        <f>+D15-L15</f>
        <v>11067842</v>
      </c>
    </row>
    <row r="16" spans="1:17">
      <c r="A16" s="1427"/>
      <c r="B16" s="1428"/>
      <c r="D16" s="1414"/>
      <c r="E16" s="1414"/>
      <c r="F16" s="1431"/>
      <c r="G16" s="1431"/>
      <c r="H16" s="1429"/>
      <c r="I16" s="1432"/>
      <c r="J16" s="1426"/>
      <c r="K16" s="1426"/>
      <c r="L16" s="1426"/>
      <c r="M16" s="1414"/>
      <c r="N16" s="1426"/>
    </row>
    <row r="17" spans="1:15">
      <c r="A17" s="1427">
        <f>+A15+1</f>
        <v>2</v>
      </c>
      <c r="B17" s="1428" t="s">
        <v>1209</v>
      </c>
      <c r="D17" s="1414">
        <v>-52771599</v>
      </c>
      <c r="E17" s="1414" t="s">
        <v>1210</v>
      </c>
      <c r="F17" s="1426">
        <v>-21108639.640000001</v>
      </c>
      <c r="G17" s="1426"/>
      <c r="H17" s="1429">
        <f>+F17/D17</f>
        <v>0.40000000075798348</v>
      </c>
      <c r="I17" s="1432"/>
      <c r="J17" s="1426"/>
      <c r="K17" s="1426"/>
      <c r="L17" s="1426">
        <f>+F17+J17</f>
        <v>-21108639.640000001</v>
      </c>
      <c r="M17" s="1414" t="s">
        <v>1061</v>
      </c>
      <c r="N17" s="1426">
        <f>+D17-L17</f>
        <v>-31662959.359999999</v>
      </c>
    </row>
    <row r="18" spans="1:15">
      <c r="A18" s="1427"/>
      <c r="B18" s="1428"/>
      <c r="D18" s="1414"/>
      <c r="E18" s="1414"/>
      <c r="F18" s="1433"/>
      <c r="G18" s="1433"/>
      <c r="H18" s="1434"/>
      <c r="I18" s="1432"/>
      <c r="J18" s="1426"/>
      <c r="K18" s="1426"/>
      <c r="L18" s="1426"/>
      <c r="M18" s="1414"/>
      <c r="N18" s="1426"/>
    </row>
    <row r="19" spans="1:15">
      <c r="A19" s="1427">
        <f>+A17+1</f>
        <v>3</v>
      </c>
      <c r="B19" s="1428" t="s">
        <v>1211</v>
      </c>
      <c r="D19" s="1414">
        <v>-159788337</v>
      </c>
      <c r="E19" s="1414" t="s">
        <v>1212</v>
      </c>
      <c r="F19" s="1426">
        <v>-63912404.369999982</v>
      </c>
      <c r="G19" s="1426"/>
      <c r="H19" s="1429">
        <f>+F19/D19</f>
        <v>0.39998166055135792</v>
      </c>
      <c r="I19" s="1435"/>
      <c r="J19" s="1426">
        <v>-160713.60000000001</v>
      </c>
      <c r="K19" s="1426"/>
      <c r="L19" s="1426">
        <f>+F19+J19-L20</f>
        <v>-42122239.969999984</v>
      </c>
      <c r="M19" s="1414" t="s">
        <v>1061</v>
      </c>
      <c r="N19" s="1426">
        <f>+D19-L19-L20</f>
        <v>-95715219.030000016</v>
      </c>
    </row>
    <row r="20" spans="1:15">
      <c r="A20" s="1427"/>
      <c r="B20" s="1428"/>
      <c r="D20" s="1414"/>
      <c r="E20" s="1414"/>
      <c r="F20" s="1421"/>
      <c r="G20" s="1421"/>
      <c r="H20" s="1436"/>
      <c r="I20" s="1437"/>
      <c r="J20" s="1426"/>
      <c r="K20" s="1426"/>
      <c r="L20" s="1426">
        <v>-21950878</v>
      </c>
      <c r="M20" s="1414" t="s">
        <v>1213</v>
      </c>
      <c r="N20" s="1426"/>
    </row>
    <row r="21" spans="1:15">
      <c r="A21" s="1427">
        <f>+A19+1</f>
        <v>4</v>
      </c>
      <c r="B21" s="1428" t="s">
        <v>1214</v>
      </c>
      <c r="D21" s="1414">
        <v>-30437384</v>
      </c>
      <c r="E21" s="1414" t="s">
        <v>1215</v>
      </c>
      <c r="F21" s="1421"/>
      <c r="G21" s="1421"/>
      <c r="H21" s="1436"/>
      <c r="I21" s="1421"/>
      <c r="J21" s="1421"/>
      <c r="K21" s="1421"/>
      <c r="L21" s="1421"/>
      <c r="N21" s="1421"/>
      <c r="O21" s="1411"/>
    </row>
    <row r="22" spans="1:15" ht="15">
      <c r="A22" s="1427">
        <f>+A21+1</f>
        <v>5</v>
      </c>
      <c r="B22" s="1428"/>
      <c r="D22" s="1438">
        <v>-11104791</v>
      </c>
      <c r="E22" s="1414" t="s">
        <v>1216</v>
      </c>
      <c r="F22" s="1420"/>
      <c r="G22" s="1420"/>
      <c r="H22" s="1439"/>
      <c r="I22" s="1432"/>
      <c r="J22" s="1426"/>
      <c r="K22" s="1426"/>
      <c r="L22" s="1426"/>
      <c r="M22" s="1414"/>
      <c r="N22" s="1426"/>
    </row>
    <row r="23" spans="1:15">
      <c r="A23" s="1427">
        <f>+A22+1</f>
        <v>6</v>
      </c>
      <c r="B23" s="1428" t="s">
        <v>1217</v>
      </c>
      <c r="D23" s="1414">
        <f>+D21-D22</f>
        <v>-19332593</v>
      </c>
      <c r="E23" s="1414"/>
      <c r="F23" s="1426">
        <v>-7733037.1300000008</v>
      </c>
      <c r="G23" s="1426"/>
      <c r="H23" s="1429">
        <f>+F23/D23</f>
        <v>0.39999999637917172</v>
      </c>
      <c r="I23" s="1432"/>
      <c r="J23" s="1426">
        <f>-J15-J19</f>
        <v>4581434.0099999988</v>
      </c>
      <c r="K23" s="1426"/>
      <c r="L23" s="1426">
        <f>+F23+J23</f>
        <v>-3151603.120000002</v>
      </c>
      <c r="M23" s="1414" t="s">
        <v>1213</v>
      </c>
      <c r="N23" s="1426">
        <f>+D23-L23</f>
        <v>-16180989.879999999</v>
      </c>
    </row>
    <row r="24" spans="1:15">
      <c r="A24" s="1427"/>
      <c r="D24" s="1414"/>
      <c r="E24" s="1414"/>
      <c r="F24" s="1431"/>
      <c r="G24" s="1431"/>
      <c r="H24" s="1429"/>
      <c r="I24" s="1432"/>
      <c r="J24" s="1426"/>
      <c r="K24" s="1426"/>
      <c r="L24" s="1426"/>
      <c r="M24" s="1414"/>
      <c r="N24" s="1426"/>
    </row>
    <row r="25" spans="1:15" ht="15">
      <c r="A25" s="1427">
        <f>+A23+1</f>
        <v>7</v>
      </c>
      <c r="B25" s="1411" t="s">
        <v>118</v>
      </c>
      <c r="D25" s="1440">
        <f>+D23+D19+D17+D15</f>
        <v>-220824687</v>
      </c>
      <c r="E25" s="1411" t="s">
        <v>1218</v>
      </c>
      <c r="F25" s="1440">
        <f>SUM(F15:F23)</f>
        <v>-88333360.729999974</v>
      </c>
      <c r="G25" s="1441"/>
      <c r="H25" s="1442"/>
      <c r="I25" s="1420"/>
      <c r="J25" s="1440">
        <f>SUM(J15:J23)</f>
        <v>0</v>
      </c>
      <c r="K25" s="1426"/>
      <c r="L25" s="1440">
        <f>SUM(L15:L23)</f>
        <v>-88333360.729999989</v>
      </c>
      <c r="M25" s="1414"/>
      <c r="N25" s="1440">
        <f>SUM(N15:N23)</f>
        <v>-132491326.27000001</v>
      </c>
    </row>
    <row r="26" spans="1:15">
      <c r="A26" s="1427"/>
      <c r="D26" s="1414"/>
      <c r="E26" s="1414"/>
      <c r="F26" s="1431"/>
      <c r="G26" s="1431"/>
      <c r="H26" s="1429"/>
      <c r="I26" s="1431"/>
      <c r="J26" s="1426"/>
      <c r="K26" s="1426"/>
      <c r="L26" s="1426"/>
      <c r="M26" s="1414"/>
      <c r="N26" s="1426"/>
    </row>
    <row r="27" spans="1:15">
      <c r="A27" s="1427"/>
      <c r="F27" s="1421"/>
      <c r="G27" s="1421"/>
      <c r="H27" s="1436"/>
      <c r="I27" s="1421"/>
      <c r="J27" s="1426"/>
      <c r="K27" s="1426"/>
      <c r="L27" s="1421"/>
      <c r="M27" s="1414"/>
      <c r="N27" s="1421"/>
    </row>
    <row r="28" spans="1:15">
      <c r="A28" s="1443" t="s">
        <v>1219</v>
      </c>
      <c r="D28" s="1414"/>
      <c r="E28" s="1414"/>
      <c r="F28" s="1431"/>
      <c r="G28" s="1431"/>
      <c r="H28" s="1429"/>
      <c r="I28" s="1431"/>
      <c r="J28" s="1426"/>
      <c r="K28" s="1426"/>
      <c r="L28" s="1426"/>
      <c r="M28" s="1414"/>
      <c r="N28" s="1426"/>
    </row>
    <row r="29" spans="1:15" ht="15">
      <c r="A29" s="1427"/>
      <c r="F29" s="1433"/>
      <c r="G29" s="1433"/>
      <c r="H29" s="1434"/>
      <c r="I29" s="1421"/>
      <c r="J29" s="1420"/>
      <c r="K29" s="1426"/>
      <c r="L29" s="1426"/>
      <c r="N29" s="1426"/>
    </row>
    <row r="30" spans="1:15">
      <c r="A30" s="1427">
        <f>+A25+1</f>
        <v>8</v>
      </c>
      <c r="B30" s="1428" t="s">
        <v>1207</v>
      </c>
      <c r="D30" s="1414">
        <v>1273849.8400000001</v>
      </c>
      <c r="E30" s="1428" t="s">
        <v>632</v>
      </c>
      <c r="F30" s="1426">
        <v>507215.55</v>
      </c>
      <c r="G30" s="1426"/>
      <c r="H30" s="1429">
        <f>+F30/D30</f>
        <v>0.3981753061255634</v>
      </c>
      <c r="I30" s="1433"/>
      <c r="J30" s="1426">
        <f>-F30</f>
        <v>-507215.55</v>
      </c>
      <c r="K30" s="1426"/>
      <c r="L30" s="1426">
        <f>+F30+J30</f>
        <v>0</v>
      </c>
      <c r="N30" s="1426">
        <f>+D30-L30</f>
        <v>1273849.8400000001</v>
      </c>
    </row>
    <row r="31" spans="1:15">
      <c r="A31" s="1427"/>
      <c r="B31" s="1428"/>
      <c r="D31" s="1414"/>
      <c r="E31" s="1414"/>
      <c r="F31" s="1431"/>
      <c r="G31" s="1431"/>
      <c r="H31" s="1429"/>
      <c r="I31" s="1431"/>
      <c r="J31" s="1426"/>
      <c r="K31" s="1426"/>
      <c r="L31" s="1426"/>
      <c r="N31" s="1426"/>
    </row>
    <row r="32" spans="1:15">
      <c r="A32" s="1427">
        <f>+A30+1</f>
        <v>9</v>
      </c>
      <c r="B32" s="1428" t="s">
        <v>1211</v>
      </c>
      <c r="D32" s="1414">
        <v>-26144513.460000001</v>
      </c>
      <c r="E32" s="1428" t="s">
        <v>632</v>
      </c>
      <c r="F32" s="1426">
        <v>-10457962.579999998</v>
      </c>
      <c r="G32" s="1426"/>
      <c r="H32" s="1429">
        <f>+F32/D32</f>
        <v>0.40000601258081314</v>
      </c>
      <c r="I32" s="1444"/>
      <c r="J32" s="1426">
        <v>-44324</v>
      </c>
      <c r="K32" s="1426"/>
      <c r="L32" s="1426">
        <f>+F32+J32-L33</f>
        <v>-9984246.5799999982</v>
      </c>
      <c r="M32" s="1414" t="s">
        <v>1061</v>
      </c>
      <c r="N32" s="1426">
        <f>+D32-L32-L33</f>
        <v>-15642226.880000003</v>
      </c>
    </row>
    <row r="33" spans="1:17">
      <c r="A33" s="1427"/>
      <c r="B33" s="1428"/>
      <c r="D33" s="1414"/>
      <c r="E33" s="1428"/>
      <c r="F33" s="1426"/>
      <c r="G33" s="1426"/>
      <c r="H33" s="1429"/>
      <c r="I33" s="1444"/>
      <c r="J33" s="1426"/>
      <c r="K33" s="1426"/>
      <c r="L33" s="1426">
        <v>-518040</v>
      </c>
      <c r="M33" s="1414" t="s">
        <v>1213</v>
      </c>
      <c r="N33" s="1426"/>
    </row>
    <row r="34" spans="1:17">
      <c r="A34" s="1427"/>
      <c r="B34" s="1428"/>
      <c r="D34" s="1414"/>
      <c r="E34" s="1414"/>
      <c r="F34" s="1421"/>
      <c r="G34" s="1421"/>
      <c r="H34" s="1436"/>
      <c r="I34" s="1445"/>
      <c r="J34" s="1426"/>
      <c r="K34" s="1426"/>
      <c r="L34" s="1426"/>
      <c r="N34" s="1426"/>
    </row>
    <row r="35" spans="1:17" s="1414" customFormat="1">
      <c r="A35" s="1427">
        <f>+A32+1</f>
        <v>10</v>
      </c>
      <c r="B35" s="1428" t="s">
        <v>1217</v>
      </c>
      <c r="C35" s="1411"/>
      <c r="D35" s="1446">
        <v>-499418.21</v>
      </c>
      <c r="E35" s="1428" t="s">
        <v>632</v>
      </c>
      <c r="F35" s="1426">
        <v>-199767.28999999998</v>
      </c>
      <c r="G35" s="1426"/>
      <c r="H35" s="1429">
        <f>+F35/D35</f>
        <v>0.40000001201397917</v>
      </c>
      <c r="I35" s="1431"/>
      <c r="J35" s="1426">
        <f>-J30-J32</f>
        <v>551539.55000000005</v>
      </c>
      <c r="K35" s="1426"/>
      <c r="L35" s="1426">
        <f>+F35+J35</f>
        <v>351772.26000000007</v>
      </c>
      <c r="M35" s="1414" t="s">
        <v>1213</v>
      </c>
      <c r="N35" s="1426">
        <f>+D35-L35</f>
        <v>-851190.47000000009</v>
      </c>
      <c r="P35" s="1411"/>
      <c r="Q35" s="1411"/>
    </row>
    <row r="36" spans="1:17" s="1414" customFormat="1">
      <c r="A36" s="1427"/>
      <c r="B36" s="1411"/>
      <c r="C36" s="1411"/>
      <c r="D36" s="1446"/>
      <c r="F36" s="1431"/>
      <c r="G36" s="1431"/>
      <c r="H36" s="1429"/>
      <c r="I36" s="1431"/>
      <c r="J36" s="1426"/>
      <c r="K36" s="1426"/>
      <c r="L36" s="1426"/>
      <c r="N36" s="1426"/>
      <c r="P36" s="1411"/>
      <c r="Q36" s="1411"/>
    </row>
    <row r="37" spans="1:17" s="1414" customFormat="1" ht="13.5" thickBot="1">
      <c r="A37" s="1427">
        <f>+A35+1</f>
        <v>11</v>
      </c>
      <c r="B37" s="1411" t="s">
        <v>118</v>
      </c>
      <c r="C37" s="1411"/>
      <c r="D37" s="1447">
        <f>SUM(D30:D35)</f>
        <v>-25370081.830000002</v>
      </c>
      <c r="E37" s="1411" t="s">
        <v>1220</v>
      </c>
      <c r="F37" s="1440">
        <f>SUM(F30:F35)</f>
        <v>-10150514.319999997</v>
      </c>
      <c r="G37" s="1441"/>
      <c r="H37" s="1448"/>
      <c r="I37" s="1421"/>
      <c r="J37" s="1440">
        <f>SUM(J30:J35)</f>
        <v>0</v>
      </c>
      <c r="K37" s="1426"/>
      <c r="L37" s="1440">
        <f>SUM(L30:L35)</f>
        <v>-10150514.319999998</v>
      </c>
      <c r="M37" s="1411"/>
      <c r="N37" s="1440">
        <f>SUM(N30:N35)</f>
        <v>-15219567.510000004</v>
      </c>
      <c r="P37" s="1411"/>
      <c r="Q37" s="1411"/>
    </row>
    <row r="38" spans="1:17" ht="13.5" thickTop="1">
      <c r="A38" s="1427"/>
      <c r="F38" s="1421"/>
      <c r="G38" s="1421"/>
      <c r="H38" s="1436"/>
      <c r="I38" s="1421"/>
      <c r="J38" s="1421"/>
      <c r="K38" s="1421"/>
      <c r="L38" s="1421"/>
      <c r="N38" s="1421"/>
    </row>
    <row r="39" spans="1:17">
      <c r="A39" s="1427"/>
      <c r="F39" s="1421"/>
      <c r="G39" s="1421"/>
      <c r="H39" s="1436"/>
      <c r="I39" s="1421"/>
      <c r="J39" s="1421"/>
      <c r="K39" s="1421"/>
      <c r="L39" s="1421"/>
      <c r="N39" s="1421"/>
    </row>
    <row r="40" spans="1:17">
      <c r="A40" s="1427"/>
      <c r="F40" s="1421"/>
      <c r="G40" s="1421"/>
      <c r="H40" s="1436"/>
      <c r="I40" s="1421"/>
      <c r="J40" s="1421"/>
      <c r="K40" s="1421"/>
      <c r="L40" s="1421"/>
      <c r="N40" s="1421"/>
    </row>
    <row r="41" spans="1:17">
      <c r="A41" s="1427"/>
      <c r="F41" s="1421"/>
      <c r="G41" s="1421"/>
      <c r="H41" s="1436"/>
      <c r="I41" s="1421"/>
      <c r="J41" s="1421"/>
      <c r="K41" s="1421"/>
      <c r="L41" s="1421"/>
      <c r="N41" s="1421"/>
    </row>
    <row r="42" spans="1:17" ht="15">
      <c r="A42" s="1579" t="s">
        <v>1221</v>
      </c>
      <c r="B42" s="1579"/>
      <c r="C42" s="1579"/>
      <c r="D42" s="1579"/>
      <c r="E42" s="1579"/>
      <c r="F42" s="1579"/>
      <c r="G42" s="1579"/>
      <c r="H42" s="1579"/>
      <c r="I42" s="1421"/>
      <c r="J42" s="1449"/>
      <c r="K42" s="1449"/>
      <c r="L42" s="1449"/>
      <c r="N42" s="1421"/>
    </row>
    <row r="43" spans="1:17" ht="15">
      <c r="A43" s="1579"/>
      <c r="B43" s="1579"/>
      <c r="C43" s="1579"/>
      <c r="D43" s="1579"/>
      <c r="E43" s="1579"/>
      <c r="F43" s="1579"/>
      <c r="G43" s="1579"/>
      <c r="H43" s="1579"/>
      <c r="I43" s="1421"/>
      <c r="J43" s="1449"/>
      <c r="K43" s="1449"/>
      <c r="L43" s="1449"/>
      <c r="N43" s="1421"/>
    </row>
    <row r="44" spans="1:17" ht="15">
      <c r="A44" s="1579"/>
      <c r="B44" s="1579"/>
      <c r="C44" s="1579"/>
      <c r="D44" s="1579"/>
      <c r="E44" s="1579"/>
      <c r="F44" s="1579"/>
      <c r="G44" s="1579"/>
      <c r="H44" s="1579"/>
      <c r="I44" s="1421"/>
      <c r="J44" s="1449"/>
      <c r="K44" s="1449"/>
      <c r="L44" s="1449"/>
      <c r="N44" s="1421"/>
    </row>
    <row r="45" spans="1:17" ht="15">
      <c r="A45" s="1579"/>
      <c r="B45" s="1579"/>
      <c r="C45" s="1579"/>
      <c r="D45" s="1579"/>
      <c r="E45" s="1579"/>
      <c r="F45" s="1579"/>
      <c r="G45" s="1579"/>
      <c r="H45" s="1579"/>
      <c r="I45" s="1421"/>
      <c r="J45" s="1449"/>
      <c r="K45" s="1449"/>
      <c r="L45" s="1449"/>
      <c r="N45" s="1421"/>
    </row>
    <row r="46" spans="1:17" ht="15">
      <c r="A46" s="1427"/>
      <c r="F46" s="1421"/>
      <c r="G46" s="1421"/>
      <c r="H46" s="1421"/>
      <c r="I46" s="1421"/>
      <c r="J46" s="1449"/>
      <c r="K46" s="1449"/>
      <c r="L46" s="1449"/>
      <c r="N46" s="1421"/>
    </row>
    <row r="47" spans="1:17" s="1414" customFormat="1" ht="15">
      <c r="A47" s="1410" t="s">
        <v>1222</v>
      </c>
      <c r="B47" s="1579" t="s">
        <v>1223</v>
      </c>
      <c r="C47" s="1579"/>
      <c r="D47" s="1579"/>
      <c r="E47" s="1579"/>
      <c r="F47" s="1579"/>
      <c r="G47" s="1579"/>
      <c r="H47" s="1579"/>
      <c r="I47" s="1421"/>
      <c r="J47" s="1449"/>
      <c r="K47" s="1449"/>
      <c r="L47" s="1449"/>
      <c r="M47" s="1411"/>
      <c r="N47" s="1411"/>
      <c r="P47" s="1411"/>
      <c r="Q47" s="1411"/>
    </row>
    <row r="48" spans="1:17" s="1414" customFormat="1" ht="12.6" customHeight="1">
      <c r="A48" s="1410"/>
      <c r="B48" s="1579"/>
      <c r="C48" s="1579"/>
      <c r="D48" s="1579"/>
      <c r="E48" s="1579"/>
      <c r="F48" s="1579"/>
      <c r="G48" s="1579"/>
      <c r="H48" s="1579"/>
      <c r="I48" s="1421"/>
      <c r="J48" s="1449"/>
      <c r="K48" s="1449"/>
      <c r="L48" s="1449"/>
      <c r="M48" s="1411"/>
      <c r="N48" s="1411"/>
      <c r="P48" s="1411"/>
      <c r="Q48" s="1411"/>
    </row>
    <row r="49" spans="1:17" s="1414" customFormat="1" ht="15">
      <c r="A49" s="1410"/>
      <c r="B49" s="1579"/>
      <c r="C49" s="1579"/>
      <c r="D49" s="1579"/>
      <c r="E49" s="1579"/>
      <c r="F49" s="1579"/>
      <c r="G49" s="1579"/>
      <c r="H49" s="1579"/>
      <c r="I49" s="1421"/>
      <c r="J49" s="1449"/>
      <c r="K49" s="1449"/>
      <c r="L49" s="1449"/>
      <c r="M49" s="1449"/>
      <c r="N49" s="1449"/>
      <c r="O49" s="1449"/>
      <c r="P49" s="1449"/>
      <c r="Q49" s="1449"/>
    </row>
    <row r="50" spans="1:17" ht="15">
      <c r="A50" s="1411"/>
      <c r="I50" s="1449"/>
      <c r="J50" s="1449"/>
      <c r="K50" s="1449"/>
      <c r="L50" s="1449"/>
      <c r="M50" s="1449"/>
      <c r="N50" s="1449"/>
      <c r="O50" s="1449"/>
      <c r="P50" s="1449"/>
      <c r="Q50" s="1449"/>
    </row>
    <row r="51" spans="1:17" ht="15.6" customHeight="1">
      <c r="A51" s="1410" t="s">
        <v>1224</v>
      </c>
      <c r="B51" s="1579" t="s">
        <v>1225</v>
      </c>
      <c r="C51" s="1579"/>
      <c r="D51" s="1579"/>
      <c r="E51" s="1579"/>
      <c r="F51" s="1579"/>
      <c r="G51" s="1579"/>
      <c r="H51" s="1579"/>
      <c r="J51" s="1449"/>
      <c r="K51" s="1449"/>
      <c r="L51" s="1449"/>
      <c r="M51" s="1449"/>
      <c r="N51" s="1449"/>
      <c r="O51" s="1449"/>
      <c r="P51" s="1449"/>
      <c r="Q51" s="1449"/>
    </row>
    <row r="52" spans="1:17" s="1414" customFormat="1" ht="15">
      <c r="A52" s="1410"/>
      <c r="B52" s="1579"/>
      <c r="C52" s="1579"/>
      <c r="D52" s="1579"/>
      <c r="E52" s="1579"/>
      <c r="F52" s="1579"/>
      <c r="G52" s="1579"/>
      <c r="H52" s="1579"/>
      <c r="I52" s="1411"/>
      <c r="J52" s="1449"/>
      <c r="K52" s="1449"/>
      <c r="L52" s="1449"/>
      <c r="M52" s="1449"/>
      <c r="N52" s="1449"/>
      <c r="O52" s="1449"/>
      <c r="P52" s="1449"/>
      <c r="Q52" s="1449"/>
    </row>
    <row r="53" spans="1:17" s="1414" customFormat="1" ht="15">
      <c r="A53" s="1411"/>
      <c r="B53" s="1411"/>
      <c r="C53" s="1411"/>
      <c r="D53" s="1411"/>
      <c r="E53" s="1411"/>
      <c r="F53" s="1411"/>
      <c r="G53" s="1411"/>
      <c r="H53" s="1411"/>
      <c r="I53" s="1411"/>
      <c r="J53" s="1449"/>
      <c r="K53" s="1449"/>
      <c r="L53" s="1449"/>
      <c r="M53" s="1449"/>
      <c r="N53" s="1449"/>
      <c r="O53" s="1449"/>
      <c r="P53" s="1449"/>
      <c r="Q53" s="1449"/>
    </row>
    <row r="54" spans="1:17" s="1414" customFormat="1" ht="15">
      <c r="A54" s="1410" t="s">
        <v>1226</v>
      </c>
      <c r="B54" s="1579" t="s">
        <v>1227</v>
      </c>
      <c r="C54" s="1579"/>
      <c r="D54" s="1579"/>
      <c r="E54" s="1579"/>
      <c r="F54" s="1579"/>
      <c r="G54" s="1579"/>
      <c r="H54" s="1579"/>
      <c r="I54" s="1579"/>
      <c r="J54" s="1449"/>
      <c r="K54" s="1449"/>
      <c r="L54" s="1449"/>
      <c r="M54" s="1449"/>
      <c r="N54" s="1449"/>
      <c r="O54" s="1449"/>
      <c r="P54" s="1449"/>
      <c r="Q54" s="1449"/>
    </row>
    <row r="55" spans="1:17" s="1414" customFormat="1" ht="15">
      <c r="A55" s="1450"/>
      <c r="B55" s="1579"/>
      <c r="C55" s="1579"/>
      <c r="D55" s="1579"/>
      <c r="E55" s="1579"/>
      <c r="F55" s="1579"/>
      <c r="G55" s="1579"/>
      <c r="H55" s="1579"/>
      <c r="I55" s="1579"/>
      <c r="J55" s="1449"/>
      <c r="K55" s="1449"/>
      <c r="L55" s="1449"/>
      <c r="M55" s="1449"/>
      <c r="N55" s="1449"/>
      <c r="O55" s="1449"/>
      <c r="P55" s="1449"/>
      <c r="Q55" s="1449"/>
    </row>
    <row r="56" spans="1:17" s="1414" customFormat="1" ht="15">
      <c r="A56" s="1411"/>
      <c r="B56" s="1411"/>
      <c r="C56" s="1411"/>
      <c r="D56" s="1411"/>
      <c r="E56" s="1411"/>
      <c r="F56" s="1411"/>
      <c r="G56" s="1411"/>
      <c r="H56" s="1411"/>
      <c r="I56" s="1411"/>
      <c r="J56" s="1449"/>
      <c r="K56" s="1449"/>
      <c r="L56" s="1449"/>
      <c r="M56" s="1449"/>
      <c r="N56" s="1449"/>
      <c r="O56" s="1449"/>
      <c r="P56" s="1449"/>
      <c r="Q56" s="1449"/>
    </row>
    <row r="57" spans="1:17" s="1414" customFormat="1" ht="15" customHeight="1">
      <c r="A57" s="1411" t="s">
        <v>1228</v>
      </c>
      <c r="B57" s="1576" t="s">
        <v>1229</v>
      </c>
      <c r="C57" s="1576"/>
      <c r="D57" s="1576"/>
      <c r="E57" s="1576"/>
      <c r="F57" s="1576"/>
      <c r="G57" s="1411"/>
      <c r="H57" s="1411"/>
      <c r="I57" s="1411"/>
      <c r="J57" s="1449"/>
      <c r="K57" s="1449"/>
      <c r="L57" s="1449"/>
      <c r="M57" s="1449"/>
      <c r="N57" s="1449"/>
      <c r="O57" s="1449"/>
      <c r="P57" s="1449"/>
      <c r="Q57" s="1449"/>
    </row>
    <row r="58" spans="1:17" s="1414" customFormat="1" ht="15">
      <c r="A58" s="1410"/>
      <c r="B58" s="1576"/>
      <c r="C58" s="1576"/>
      <c r="D58" s="1576"/>
      <c r="E58" s="1576"/>
      <c r="F58" s="1576"/>
      <c r="G58" s="1411"/>
      <c r="H58" s="1411"/>
      <c r="I58" s="1411"/>
      <c r="J58" s="1449"/>
      <c r="K58" s="1449"/>
      <c r="L58" s="1449"/>
      <c r="M58" s="1449"/>
      <c r="N58" s="1449"/>
      <c r="O58" s="1449"/>
      <c r="P58" s="1449"/>
      <c r="Q58" s="1449"/>
    </row>
    <row r="59" spans="1:17" s="1414" customFormat="1" ht="15">
      <c r="A59" s="1449"/>
      <c r="B59" s="1449"/>
      <c r="C59" s="1449"/>
      <c r="D59" s="1449"/>
      <c r="E59" s="1449"/>
      <c r="F59" s="1449"/>
      <c r="G59" s="1449"/>
      <c r="H59" s="1449"/>
      <c r="I59" s="1449"/>
      <c r="J59" s="1449"/>
      <c r="K59" s="1449"/>
      <c r="L59" s="1449"/>
      <c r="M59" s="1449"/>
      <c r="N59" s="1449"/>
      <c r="O59" s="1449"/>
      <c r="P59" s="1449"/>
      <c r="Q59" s="1449"/>
    </row>
    <row r="60" spans="1:17" s="1414" customFormat="1" ht="15">
      <c r="A60" s="1450"/>
      <c r="B60" s="1449"/>
      <c r="C60" s="1449"/>
      <c r="D60" s="1449"/>
      <c r="E60" s="1449"/>
      <c r="F60" s="1449"/>
      <c r="G60" s="1449"/>
      <c r="H60" s="1449"/>
      <c r="I60" s="1449"/>
      <c r="J60" s="1449"/>
      <c r="K60" s="1449"/>
      <c r="L60" s="1449"/>
      <c r="M60" s="1449"/>
      <c r="N60" s="1449"/>
      <c r="O60" s="1449"/>
      <c r="P60" s="1449"/>
      <c r="Q60" s="1449"/>
    </row>
    <row r="61" spans="1:17" s="1414" customFormat="1" ht="15">
      <c r="A61" s="1450"/>
      <c r="B61" s="1449"/>
      <c r="C61" s="1449"/>
      <c r="D61" s="1449"/>
      <c r="E61" s="1449"/>
      <c r="F61" s="1449"/>
      <c r="G61" s="1449"/>
      <c r="H61" s="1449"/>
      <c r="I61" s="1449"/>
      <c r="J61" s="1449"/>
      <c r="K61" s="1449"/>
      <c r="L61" s="1449"/>
      <c r="M61" s="1449"/>
      <c r="N61" s="1449"/>
      <c r="O61" s="1449"/>
      <c r="P61" s="1449"/>
      <c r="Q61" s="1449"/>
    </row>
    <row r="62" spans="1:17" s="1414" customFormat="1" ht="15">
      <c r="A62" s="1450"/>
      <c r="B62" s="1449"/>
      <c r="C62" s="1449"/>
      <c r="D62" s="1449"/>
      <c r="E62" s="1449"/>
      <c r="F62" s="1449"/>
      <c r="G62" s="1449"/>
      <c r="H62" s="1449"/>
      <c r="I62" s="1449"/>
      <c r="J62" s="1449"/>
      <c r="K62" s="1449"/>
      <c r="L62" s="1449"/>
      <c r="M62" s="1449"/>
      <c r="N62" s="1449"/>
      <c r="O62" s="1449"/>
      <c r="P62" s="1449"/>
      <c r="Q62" s="1449"/>
    </row>
    <row r="63" spans="1:17" s="1414" customFormat="1" ht="15">
      <c r="A63" s="1450"/>
      <c r="B63" s="1449"/>
      <c r="C63" s="1449"/>
      <c r="D63" s="1449"/>
      <c r="E63" s="1449"/>
      <c r="F63" s="1449"/>
      <c r="G63" s="1449"/>
      <c r="H63" s="1449"/>
      <c r="I63" s="1449"/>
      <c r="J63" s="1449"/>
      <c r="K63" s="1449"/>
      <c r="L63" s="1449"/>
      <c r="M63" s="1449"/>
      <c r="N63" s="1449"/>
      <c r="O63" s="1449"/>
      <c r="P63" s="1449"/>
      <c r="Q63" s="1449"/>
    </row>
    <row r="64" spans="1:17" s="1414" customFormat="1" ht="15">
      <c r="A64" s="1450"/>
      <c r="B64" s="1449"/>
      <c r="C64" s="1449"/>
      <c r="D64" s="1449"/>
      <c r="E64" s="1449"/>
      <c r="F64" s="1449"/>
      <c r="G64" s="1449"/>
      <c r="H64" s="1449"/>
      <c r="I64" s="1449"/>
      <c r="J64" s="1449"/>
      <c r="K64" s="1449"/>
      <c r="L64" s="1449"/>
      <c r="M64" s="1449"/>
      <c r="N64" s="1449"/>
      <c r="O64" s="1449"/>
      <c r="P64" s="1449"/>
      <c r="Q64" s="1449"/>
    </row>
    <row r="65" spans="1:17" s="1414" customFormat="1" ht="15">
      <c r="A65" s="1450"/>
      <c r="B65" s="1449"/>
      <c r="C65" s="1449"/>
      <c r="D65" s="1449"/>
      <c r="E65" s="1449"/>
      <c r="F65" s="1449"/>
      <c r="G65" s="1449"/>
      <c r="H65" s="1449"/>
      <c r="I65" s="1449"/>
      <c r="J65" s="1449"/>
      <c r="K65" s="1449"/>
      <c r="L65" s="1449"/>
      <c r="M65" s="1449"/>
      <c r="N65" s="1449"/>
      <c r="O65" s="1449"/>
      <c r="P65" s="1449"/>
      <c r="Q65" s="1449"/>
    </row>
  </sheetData>
  <mergeCells count="7">
    <mergeCell ref="B57:F58"/>
    <mergeCell ref="A7:N7"/>
    <mergeCell ref="Q9:Q10"/>
    <mergeCell ref="A42:H45"/>
    <mergeCell ref="B47:H49"/>
    <mergeCell ref="B51:H52"/>
    <mergeCell ref="B54:I55"/>
  </mergeCells>
  <pageMargins left="0.7" right="0.7" top="0.75" bottom="0.75" header="0.3" footer="0.3"/>
  <pageSetup scale="61"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CB5E6-A08D-41B7-B083-61E55AAC92B3}">
  <dimension ref="A1:Q86"/>
  <sheetViews>
    <sheetView workbookViewId="0">
      <selection activeCell="D11" sqref="D11"/>
    </sheetView>
  </sheetViews>
  <sheetFormatPr defaultRowHeight="12.75"/>
  <cols>
    <col min="2" max="2" width="15.28515625" customWidth="1"/>
    <col min="3" max="3" width="4.140625" customWidth="1"/>
    <col min="4" max="4" width="21.28515625" customWidth="1"/>
    <col min="5" max="5" width="34.7109375" customWidth="1"/>
    <col min="6" max="6" width="18.7109375" customWidth="1"/>
    <col min="7" max="7" width="4.5703125" customWidth="1"/>
    <col min="8" max="8" width="18.42578125" customWidth="1"/>
    <col min="9" max="9" width="4.85546875" customWidth="1"/>
    <col min="10" max="10" width="20" customWidth="1"/>
    <col min="11" max="11" width="3.7109375" customWidth="1"/>
    <col min="12" max="14" width="17.5703125" customWidth="1"/>
  </cols>
  <sheetData>
    <row r="1" spans="1:17" ht="15.75">
      <c r="A1" s="1465" t="s">
        <v>1184</v>
      </c>
      <c r="B1" s="1464"/>
      <c r="C1" s="1464"/>
      <c r="D1" s="1464"/>
      <c r="E1" s="1464"/>
      <c r="F1" s="1464"/>
      <c r="G1" s="1464"/>
      <c r="H1" s="1464"/>
      <c r="I1" s="1464"/>
      <c r="J1" s="1464"/>
      <c r="K1" s="1464"/>
      <c r="L1" s="1467"/>
      <c r="M1" s="1464"/>
      <c r="N1" s="1468"/>
      <c r="O1" s="1464"/>
      <c r="P1" s="1464"/>
      <c r="Q1" s="1464"/>
    </row>
    <row r="2" spans="1:17" ht="15">
      <c r="A2" s="1465" t="s">
        <v>1286</v>
      </c>
      <c r="B2" s="1464"/>
      <c r="C2" s="1464"/>
      <c r="D2" s="1464"/>
      <c r="E2" s="1464"/>
      <c r="F2" s="1464"/>
      <c r="G2" s="1464"/>
      <c r="H2" s="1464"/>
      <c r="I2" s="1464"/>
      <c r="J2" s="1464"/>
      <c r="K2" s="1464"/>
      <c r="L2" s="1470"/>
      <c r="M2" s="1464"/>
      <c r="N2" s="1471"/>
      <c r="O2" s="1464"/>
      <c r="P2" s="1464"/>
      <c r="Q2" s="1464"/>
    </row>
    <row r="3" spans="1:17" ht="15">
      <c r="A3" s="1465" t="s">
        <v>1187</v>
      </c>
      <c r="B3" s="1464"/>
      <c r="C3" s="1464"/>
      <c r="D3" s="1464"/>
      <c r="E3" s="1464"/>
      <c r="F3" s="1464"/>
      <c r="G3" s="1464"/>
      <c r="H3" s="1464"/>
      <c r="I3" s="1464"/>
      <c r="J3" s="1464"/>
      <c r="K3" s="1464"/>
      <c r="L3" s="1464"/>
      <c r="M3" s="1464"/>
      <c r="N3" s="1471"/>
      <c r="O3" s="1464"/>
      <c r="P3" s="1464"/>
      <c r="Q3" s="1464"/>
    </row>
    <row r="4" spans="1:17" ht="15">
      <c r="A4" s="1465" t="s">
        <v>1269</v>
      </c>
      <c r="B4" s="1464"/>
      <c r="C4" s="1464"/>
      <c r="D4" s="1464"/>
      <c r="E4" s="1464"/>
      <c r="F4" s="1464"/>
      <c r="G4" s="1464"/>
      <c r="H4" s="1464"/>
      <c r="I4" s="1464"/>
      <c r="J4" s="1464"/>
      <c r="K4" s="1464"/>
      <c r="L4" s="1464"/>
      <c r="M4" s="1464"/>
      <c r="N4" s="1468"/>
      <c r="O4" s="1464"/>
      <c r="P4" s="1464"/>
      <c r="Q4" s="1464"/>
    </row>
    <row r="5" spans="1:17" ht="15">
      <c r="A5" s="1465" t="s">
        <v>1191</v>
      </c>
      <c r="B5" s="1464"/>
      <c r="C5" s="1464"/>
      <c r="D5" s="1464"/>
      <c r="E5" s="1464"/>
      <c r="F5" s="1464"/>
      <c r="G5" s="1464"/>
      <c r="H5" s="1464"/>
      <c r="I5" s="1464"/>
      <c r="J5" s="1464"/>
      <c r="K5" s="1464"/>
      <c r="L5" s="1464"/>
      <c r="M5" s="1464"/>
      <c r="N5" s="1464"/>
      <c r="O5" s="1464"/>
      <c r="P5" s="1464"/>
      <c r="Q5" s="1464"/>
    </row>
    <row r="6" spans="1:17" ht="15">
      <c r="A6" s="1465" t="s">
        <v>1037</v>
      </c>
      <c r="B6" s="1464"/>
      <c r="C6" s="1464"/>
      <c r="D6" s="1464"/>
      <c r="E6" s="1464"/>
      <c r="F6" s="1464"/>
      <c r="G6" s="1464"/>
      <c r="H6" s="1464"/>
      <c r="I6" s="1464"/>
      <c r="J6" s="1464"/>
      <c r="K6" s="1464"/>
      <c r="L6" s="1464"/>
      <c r="M6" s="1464"/>
      <c r="N6" s="1464"/>
      <c r="O6" s="1464"/>
      <c r="P6" s="1464"/>
      <c r="Q6" s="1464"/>
    </row>
    <row r="7" spans="1:17" ht="15">
      <c r="A7" s="1577" t="s">
        <v>1270</v>
      </c>
      <c r="B7" s="1577"/>
      <c r="C7" s="1577"/>
      <c r="D7" s="1577"/>
      <c r="E7" s="1577"/>
      <c r="F7" s="1577"/>
      <c r="G7" s="1577"/>
      <c r="H7" s="1577"/>
      <c r="I7" s="1577"/>
      <c r="J7" s="1577"/>
      <c r="K7" s="1577"/>
      <c r="L7" s="1577"/>
      <c r="M7" s="1577"/>
      <c r="N7" s="1577"/>
      <c r="O7" s="1464"/>
      <c r="P7" s="1464"/>
      <c r="Q7" s="1464"/>
    </row>
    <row r="9" spans="1:17" ht="15">
      <c r="A9" s="1472" t="s">
        <v>148</v>
      </c>
      <c r="B9" s="1473" t="s">
        <v>149</v>
      </c>
      <c r="C9" s="1473"/>
      <c r="D9" s="1504" t="s">
        <v>150</v>
      </c>
      <c r="E9" s="1473" t="s">
        <v>151</v>
      </c>
      <c r="F9" s="1473" t="s">
        <v>152</v>
      </c>
      <c r="G9" s="1473"/>
      <c r="H9" s="1473" t="s">
        <v>1194</v>
      </c>
      <c r="I9" s="1473"/>
      <c r="J9" s="1473" t="s">
        <v>154</v>
      </c>
      <c r="K9" s="1473"/>
      <c r="L9" s="1473" t="s">
        <v>1195</v>
      </c>
      <c r="M9" s="1473" t="s">
        <v>156</v>
      </c>
      <c r="N9" s="1473" t="s">
        <v>1196</v>
      </c>
      <c r="O9" s="1464"/>
      <c r="P9" s="1464"/>
      <c r="Q9" s="1581"/>
    </row>
    <row r="10" spans="1:17" ht="15">
      <c r="A10" s="1464"/>
      <c r="B10" s="1464"/>
      <c r="C10" s="1464"/>
      <c r="D10" s="1464"/>
      <c r="E10" s="1464"/>
      <c r="F10" s="1474"/>
      <c r="G10" s="1474"/>
      <c r="H10" s="1474"/>
      <c r="I10" s="1464"/>
      <c r="J10" s="1464"/>
      <c r="K10" s="1464"/>
      <c r="L10" s="1464"/>
      <c r="M10" s="1464"/>
      <c r="N10" s="1464"/>
      <c r="O10" s="1464"/>
      <c r="P10" s="1464"/>
      <c r="Q10" s="1581"/>
    </row>
    <row r="11" spans="1:17" ht="51.75">
      <c r="A11" s="1465" t="s">
        <v>1197</v>
      </c>
      <c r="B11" s="1466" t="s">
        <v>1198</v>
      </c>
      <c r="C11" s="1464"/>
      <c r="D11" s="1505" t="s">
        <v>1271</v>
      </c>
      <c r="E11" s="1473" t="s">
        <v>1050</v>
      </c>
      <c r="F11" s="1476" t="s">
        <v>1200</v>
      </c>
      <c r="G11" s="1476"/>
      <c r="H11" s="1476" t="s">
        <v>1201</v>
      </c>
      <c r="I11" s="1477"/>
      <c r="J11" s="1476" t="s">
        <v>1202</v>
      </c>
      <c r="K11" s="1478"/>
      <c r="L11" s="1476" t="s">
        <v>1203</v>
      </c>
      <c r="M11" s="1475" t="s">
        <v>1204</v>
      </c>
      <c r="N11" s="1475" t="s">
        <v>1205</v>
      </c>
      <c r="O11" s="1464"/>
      <c r="P11" s="1464"/>
      <c r="Q11" s="1464"/>
    </row>
    <row r="12" spans="1:17" ht="15.75">
      <c r="A12" s="1464"/>
      <c r="B12" s="1464"/>
      <c r="C12" s="1464"/>
      <c r="D12" s="1505"/>
      <c r="E12" s="1473"/>
      <c r="F12" s="1476"/>
      <c r="G12" s="1476"/>
      <c r="H12" s="1476"/>
      <c r="I12" s="1477"/>
      <c r="J12" s="1476"/>
      <c r="K12" s="1478"/>
      <c r="L12" s="1476"/>
      <c r="M12" s="1464"/>
      <c r="N12" s="1474"/>
      <c r="O12" s="1464"/>
      <c r="P12" s="1464"/>
      <c r="Q12" s="1464"/>
    </row>
    <row r="13" spans="1:17" ht="15.75">
      <c r="A13" s="1479" t="s">
        <v>1206</v>
      </c>
      <c r="B13" s="1464"/>
      <c r="C13" s="1464"/>
      <c r="D13" s="1505"/>
      <c r="E13" s="1473"/>
      <c r="F13" s="1476"/>
      <c r="G13" s="1476"/>
      <c r="H13" s="1476"/>
      <c r="I13" s="1477"/>
      <c r="J13" s="1476"/>
      <c r="K13" s="1478"/>
      <c r="L13" s="1476"/>
      <c r="M13" s="1464"/>
      <c r="N13" s="1474"/>
      <c r="O13" s="1464"/>
      <c r="P13" s="1464"/>
      <c r="Q13" s="1464"/>
    </row>
    <row r="14" spans="1:17" ht="15">
      <c r="A14" s="1464"/>
      <c r="B14" s="1464"/>
      <c r="C14" s="1464"/>
      <c r="D14" s="1506"/>
      <c r="E14" s="1469"/>
      <c r="F14" s="1480"/>
      <c r="G14" s="1480"/>
      <c r="H14" s="1480"/>
      <c r="I14" s="1480"/>
      <c r="J14" s="1480"/>
      <c r="K14" s="1480"/>
      <c r="L14" s="1480"/>
      <c r="M14" s="1469"/>
      <c r="N14" s="1469"/>
      <c r="O14" s="1464"/>
      <c r="P14" s="1464"/>
      <c r="Q14" s="1464"/>
    </row>
    <row r="15" spans="1:17" ht="15">
      <c r="A15" s="1481">
        <v>1</v>
      </c>
      <c r="B15" s="1482" t="s">
        <v>1272</v>
      </c>
      <c r="C15" s="1464"/>
      <c r="D15" s="1483">
        <v>-780338449</v>
      </c>
      <c r="E15" s="1469" t="s">
        <v>1273</v>
      </c>
      <c r="F15" s="1478"/>
      <c r="G15" s="1478"/>
      <c r="H15" s="1478"/>
      <c r="I15" s="1478"/>
      <c r="J15" s="1478"/>
      <c r="K15" s="1478"/>
      <c r="L15" s="1478"/>
      <c r="M15" s="1464"/>
      <c r="N15" s="1469"/>
      <c r="O15" s="1464"/>
      <c r="P15" s="1464"/>
      <c r="Q15" s="1464"/>
    </row>
    <row r="16" spans="1:17" ht="15.75">
      <c r="A16" s="1481">
        <v>2</v>
      </c>
      <c r="B16" s="1482"/>
      <c r="C16" s="1464"/>
      <c r="D16" s="1510">
        <v>0.96579400000000004</v>
      </c>
      <c r="E16" s="1469" t="s">
        <v>1274</v>
      </c>
      <c r="F16" s="1477"/>
      <c r="G16" s="1477"/>
      <c r="H16" s="1484"/>
      <c r="I16" s="1477"/>
      <c r="J16" s="1477"/>
      <c r="K16" s="1477"/>
      <c r="L16" s="1477"/>
      <c r="M16" s="1469"/>
      <c r="N16" s="1469"/>
      <c r="O16" s="1464"/>
      <c r="P16" s="1464"/>
      <c r="Q16" s="1464"/>
    </row>
    <row r="17" spans="1:16" ht="15.75">
      <c r="A17" s="1481">
        <v>3</v>
      </c>
      <c r="B17" s="1482"/>
      <c r="C17" s="1464"/>
      <c r="D17" s="1513">
        <v>6.5000000000000002E-2</v>
      </c>
      <c r="E17" s="1469" t="s">
        <v>1275</v>
      </c>
      <c r="F17" s="1477"/>
      <c r="G17" s="1477"/>
      <c r="H17" s="1484"/>
      <c r="I17" s="1477"/>
      <c r="J17" s="1477"/>
      <c r="K17" s="1477"/>
      <c r="L17" s="1477"/>
      <c r="M17" s="1469"/>
      <c r="N17" s="1469"/>
      <c r="O17" s="1464"/>
      <c r="P17" s="1464"/>
    </row>
    <row r="18" spans="1:16" ht="15.75">
      <c r="A18" s="1481">
        <v>4</v>
      </c>
      <c r="B18" s="1482"/>
      <c r="C18" s="1464"/>
      <c r="D18" s="1512">
        <v>-48987002.480877899</v>
      </c>
      <c r="E18" s="1466" t="s">
        <v>1276</v>
      </c>
      <c r="F18" s="1477"/>
      <c r="G18" s="1477"/>
      <c r="H18" s="1484"/>
      <c r="I18" s="1477"/>
      <c r="J18" s="1477"/>
      <c r="K18" s="1477"/>
      <c r="L18" s="1477"/>
      <c r="M18" s="1469"/>
      <c r="N18" s="1469"/>
      <c r="O18" s="1464"/>
      <c r="P18" s="1464"/>
    </row>
    <row r="19" spans="1:16" ht="15.75">
      <c r="A19" s="1481">
        <v>5</v>
      </c>
      <c r="B19" s="1482"/>
      <c r="C19" s="1464"/>
      <c r="D19" s="1512"/>
      <c r="E19" s="1464"/>
      <c r="F19" s="1477"/>
      <c r="G19" s="1477"/>
      <c r="H19" s="1484"/>
      <c r="I19" s="1477"/>
      <c r="J19" s="1477"/>
      <c r="K19" s="1477"/>
      <c r="L19" s="1477"/>
      <c r="M19" s="1469"/>
      <c r="N19" s="1469"/>
      <c r="O19" s="1464"/>
      <c r="P19" s="1464"/>
    </row>
    <row r="20" spans="1:16" ht="15.75">
      <c r="A20" s="1481">
        <v>6</v>
      </c>
      <c r="B20" s="1482"/>
      <c r="C20" s="1464"/>
      <c r="D20" s="1512">
        <v>-780338449</v>
      </c>
      <c r="E20" s="1469" t="s">
        <v>1273</v>
      </c>
      <c r="F20" s="1477"/>
      <c r="G20" s="1477"/>
      <c r="H20" s="1484"/>
      <c r="I20" s="1477"/>
      <c r="J20" s="1477"/>
      <c r="K20" s="1477"/>
      <c r="L20" s="1477"/>
      <c r="M20" s="1469"/>
      <c r="N20" s="1469"/>
      <c r="O20" s="1464"/>
      <c r="P20" s="1464"/>
    </row>
    <row r="21" spans="1:16" ht="15.75">
      <c r="A21" s="1481">
        <v>7</v>
      </c>
      <c r="B21" s="1482"/>
      <c r="C21" s="1464"/>
      <c r="D21" s="1510">
        <v>0.97713899999999998</v>
      </c>
      <c r="E21" s="1469" t="s">
        <v>1277</v>
      </c>
      <c r="F21" s="1477"/>
      <c r="G21" s="1477"/>
      <c r="H21" s="1484"/>
      <c r="I21" s="1477"/>
      <c r="J21" s="1477"/>
      <c r="K21" s="1477"/>
      <c r="L21" s="1477"/>
      <c r="M21" s="1469"/>
      <c r="N21" s="1469"/>
      <c r="O21" s="1464"/>
      <c r="P21" s="1464"/>
    </row>
    <row r="22" spans="1:16" ht="15.75">
      <c r="A22" s="1481">
        <v>8</v>
      </c>
      <c r="B22" s="1482"/>
      <c r="C22" s="1464"/>
      <c r="D22" s="1513">
        <v>6.5000000000000002E-2</v>
      </c>
      <c r="E22" s="1469" t="s">
        <v>1275</v>
      </c>
      <c r="F22" s="1477"/>
      <c r="G22" s="1477"/>
      <c r="H22" s="1484"/>
      <c r="I22" s="1477"/>
      <c r="J22" s="1477"/>
      <c r="K22" s="1477"/>
      <c r="L22" s="1477"/>
      <c r="M22" s="1469"/>
      <c r="N22" s="1469"/>
      <c r="O22" s="1464"/>
      <c r="P22" s="1464"/>
    </row>
    <row r="23" spans="1:16" ht="15.75">
      <c r="A23" s="1481">
        <v>9</v>
      </c>
      <c r="B23" s="1482"/>
      <c r="C23" s="1464"/>
      <c r="D23" s="1512">
        <v>-49562443.561631717</v>
      </c>
      <c r="E23" s="1466" t="s">
        <v>1278</v>
      </c>
      <c r="F23" s="1477"/>
      <c r="G23" s="1477"/>
      <c r="H23" s="1484"/>
      <c r="I23" s="1477"/>
      <c r="J23" s="1477"/>
      <c r="K23" s="1477"/>
      <c r="L23" s="1477"/>
      <c r="M23" s="1469"/>
      <c r="N23" s="1469"/>
      <c r="O23" s="1464"/>
      <c r="P23" s="1464"/>
    </row>
    <row r="24" spans="1:16" ht="15">
      <c r="A24" s="1481">
        <v>10</v>
      </c>
      <c r="B24" s="1482"/>
      <c r="C24" s="1464"/>
      <c r="D24" s="1503"/>
      <c r="E24" s="1464"/>
      <c r="F24" s="1480"/>
      <c r="G24" s="1480"/>
      <c r="H24" s="1485"/>
      <c r="I24" s="1486"/>
      <c r="J24" s="1480"/>
      <c r="K24" s="1480"/>
      <c r="L24" s="1480"/>
      <c r="M24" s="1469"/>
      <c r="N24" s="1469">
        <v>0</v>
      </c>
      <c r="O24" s="1464"/>
      <c r="P24" s="1464"/>
    </row>
    <row r="25" spans="1:16" ht="15">
      <c r="A25" s="1481">
        <v>11</v>
      </c>
      <c r="B25" s="1482"/>
      <c r="C25" s="1464"/>
      <c r="D25" s="1511">
        <v>575441.08075381815</v>
      </c>
      <c r="E25" s="1466" t="s">
        <v>1279</v>
      </c>
      <c r="F25" s="1514">
        <v>575441.08075381815</v>
      </c>
      <c r="G25" s="1487"/>
      <c r="H25" s="1516">
        <v>-1.1610425947587667E-2</v>
      </c>
      <c r="I25" s="1486"/>
      <c r="J25" s="1480"/>
      <c r="K25" s="1480"/>
      <c r="L25" s="1480">
        <v>575441.08075381815</v>
      </c>
      <c r="M25" s="1469"/>
      <c r="N25" s="1469">
        <v>-48987002.480877899</v>
      </c>
      <c r="O25" s="1464"/>
      <c r="P25" s="1464"/>
    </row>
    <row r="26" spans="1:16" ht="15">
      <c r="A26" s="1481">
        <v>12</v>
      </c>
      <c r="B26" s="1482"/>
      <c r="C26" s="1464"/>
      <c r="D26" s="1503"/>
      <c r="E26" s="1466" t="s">
        <v>1280</v>
      </c>
      <c r="F26" s="1480">
        <v>-120842.62695830181</v>
      </c>
      <c r="G26" s="1480"/>
      <c r="H26" s="1485"/>
      <c r="I26" s="1488"/>
      <c r="J26" s="1480">
        <v>0</v>
      </c>
      <c r="K26" s="1480"/>
      <c r="L26" s="1480">
        <v>-120842.62695830181</v>
      </c>
      <c r="M26" s="1469"/>
      <c r="N26" s="1469"/>
      <c r="O26" s="1464"/>
      <c r="P26" s="1464"/>
    </row>
    <row r="27" spans="1:16" ht="15">
      <c r="A27" s="1481">
        <v>13</v>
      </c>
      <c r="B27" s="1482"/>
      <c r="C27" s="1464"/>
      <c r="D27" s="1506"/>
      <c r="E27" s="1464"/>
      <c r="F27" s="1480"/>
      <c r="G27" s="1480"/>
      <c r="H27" s="1485"/>
      <c r="I27" s="1490"/>
      <c r="J27" s="1480"/>
      <c r="K27" s="1480"/>
      <c r="L27" s="1480"/>
      <c r="M27" s="1469"/>
      <c r="N27" s="1469"/>
      <c r="O27" s="1464"/>
      <c r="P27" s="1464"/>
    </row>
    <row r="28" spans="1:16" ht="15">
      <c r="A28" s="1481">
        <v>14</v>
      </c>
      <c r="B28" s="1464"/>
      <c r="C28" s="1464"/>
      <c r="D28" s="1464"/>
      <c r="E28" s="1469"/>
      <c r="F28" s="1480"/>
      <c r="G28" s="1480"/>
      <c r="H28" s="1489"/>
      <c r="I28" s="1491"/>
      <c r="J28" s="1480"/>
      <c r="K28" s="1480"/>
      <c r="L28" s="1480"/>
      <c r="M28" s="1469"/>
      <c r="N28" s="1469"/>
      <c r="O28" s="1464"/>
      <c r="P28" s="1464"/>
    </row>
    <row r="29" spans="1:16" ht="15">
      <c r="A29" s="1481">
        <v>15</v>
      </c>
      <c r="B29" s="1466" t="s">
        <v>118</v>
      </c>
      <c r="C29" s="1464"/>
      <c r="D29" s="1507">
        <v>-49562443.561631717</v>
      </c>
      <c r="E29" s="1469" t="s">
        <v>1281</v>
      </c>
      <c r="F29" s="1492">
        <v>454598.45379551634</v>
      </c>
      <c r="G29" s="1493"/>
      <c r="H29" s="1494"/>
      <c r="I29" s="1478"/>
      <c r="J29" s="1492">
        <v>0</v>
      </c>
      <c r="K29" s="1480"/>
      <c r="L29" s="1492">
        <v>454598.45379551634</v>
      </c>
      <c r="M29" s="1469"/>
      <c r="N29" s="1492">
        <v>-48987002.480877899</v>
      </c>
      <c r="O29" s="1464"/>
      <c r="P29" s="1464"/>
    </row>
    <row r="30" spans="1:16" ht="15">
      <c r="A30" s="1481"/>
      <c r="B30" s="1464"/>
      <c r="C30" s="1464"/>
      <c r="D30" s="1506"/>
      <c r="E30" s="1495"/>
      <c r="F30" s="1487"/>
      <c r="G30" s="1487"/>
      <c r="H30" s="1485"/>
      <c r="I30" s="1480"/>
      <c r="J30" s="1480"/>
      <c r="K30" s="1480"/>
      <c r="L30" s="1480"/>
      <c r="M30" s="1469"/>
      <c r="N30" s="1497"/>
      <c r="O30" s="1464"/>
      <c r="P30" s="1464"/>
    </row>
    <row r="31" spans="1:16" ht="15">
      <c r="A31" s="1496" t="s">
        <v>1219</v>
      </c>
      <c r="B31" s="1464"/>
      <c r="C31" s="1464"/>
      <c r="D31" s="1506"/>
      <c r="E31" s="1469"/>
      <c r="F31" s="1487"/>
      <c r="G31" s="1487"/>
      <c r="H31" s="1485"/>
      <c r="I31" s="1487"/>
      <c r="J31" s="1480"/>
      <c r="K31" s="1480"/>
      <c r="L31" s="1480"/>
      <c r="M31" s="1469"/>
      <c r="N31" s="1469"/>
      <c r="O31" s="1464"/>
      <c r="P31" s="1469"/>
    </row>
    <row r="32" spans="1:16" ht="15.75">
      <c r="A32" s="1481"/>
      <c r="B32" s="1464"/>
      <c r="C32" s="1464"/>
      <c r="D32" s="1464"/>
      <c r="E32" s="1464"/>
      <c r="F32" s="1491"/>
      <c r="G32" s="1491"/>
      <c r="H32" s="1485"/>
      <c r="I32" s="1478"/>
      <c r="J32" s="1477"/>
      <c r="K32" s="1480"/>
      <c r="L32" s="1480"/>
      <c r="M32" s="1464"/>
      <c r="N32" s="1469"/>
      <c r="O32" s="1464"/>
      <c r="P32" s="1469"/>
    </row>
    <row r="33" spans="1:16" ht="15">
      <c r="A33" s="1481">
        <v>16</v>
      </c>
      <c r="B33" s="1482" t="s">
        <v>1272</v>
      </c>
      <c r="C33" s="1464"/>
      <c r="D33" s="1483">
        <v>-6972534</v>
      </c>
      <c r="E33" s="1469" t="s">
        <v>1273</v>
      </c>
      <c r="F33" s="1478"/>
      <c r="G33" s="1478"/>
      <c r="H33" s="1478"/>
      <c r="I33" s="1478"/>
      <c r="J33" s="1478"/>
      <c r="K33" s="1478"/>
      <c r="L33" s="1480"/>
      <c r="M33" s="1464"/>
      <c r="N33" s="1469"/>
      <c r="O33" s="1464"/>
      <c r="P33" s="1469"/>
    </row>
    <row r="34" spans="1:16" ht="15.75">
      <c r="A34" s="1481">
        <v>17</v>
      </c>
      <c r="B34" s="1464"/>
      <c r="C34" s="1464"/>
      <c r="D34" s="1510">
        <v>0.96579400000000004</v>
      </c>
      <c r="E34" s="1469" t="s">
        <v>1274</v>
      </c>
      <c r="F34" s="1477"/>
      <c r="G34" s="1477"/>
      <c r="H34" s="1484"/>
      <c r="I34" s="1477"/>
      <c r="J34" s="1477"/>
      <c r="K34" s="1477"/>
      <c r="L34" s="1480"/>
      <c r="M34" s="1464"/>
      <c r="N34" s="1469"/>
      <c r="O34" s="1464"/>
      <c r="P34" s="1469"/>
    </row>
    <row r="35" spans="1:16" ht="15.75">
      <c r="A35" s="1481">
        <v>18</v>
      </c>
      <c r="B35" s="1464"/>
      <c r="C35" s="1464"/>
      <c r="D35" s="1513">
        <v>6.5000000000000002E-2</v>
      </c>
      <c r="E35" s="1469" t="s">
        <v>1275</v>
      </c>
      <c r="F35" s="1477"/>
      <c r="G35" s="1477"/>
      <c r="H35" s="1484"/>
      <c r="I35" s="1477"/>
      <c r="J35" s="1477"/>
      <c r="K35" s="1477"/>
      <c r="L35" s="1480"/>
      <c r="M35" s="1464"/>
      <c r="N35" s="1469"/>
      <c r="O35" s="1464"/>
      <c r="P35" s="1469"/>
    </row>
    <row r="36" spans="1:16" ht="15.75">
      <c r="A36" s="1481">
        <v>19</v>
      </c>
      <c r="B36" s="1464"/>
      <c r="C36" s="1464"/>
      <c r="D36" s="1512">
        <v>-437712.04762974003</v>
      </c>
      <c r="E36" s="1466" t="s">
        <v>1276</v>
      </c>
      <c r="F36" s="1477"/>
      <c r="G36" s="1477"/>
      <c r="H36" s="1484"/>
      <c r="I36" s="1477"/>
      <c r="J36" s="1477"/>
      <c r="K36" s="1477"/>
      <c r="L36" s="1480"/>
      <c r="M36" s="1464"/>
      <c r="N36" s="1469"/>
      <c r="O36" s="1464"/>
      <c r="P36" s="1469"/>
    </row>
    <row r="37" spans="1:16" ht="15.75">
      <c r="A37" s="1481">
        <v>20</v>
      </c>
      <c r="B37" s="1464"/>
      <c r="C37" s="1464"/>
      <c r="D37" s="1512"/>
      <c r="E37" s="1464"/>
      <c r="F37" s="1477"/>
      <c r="G37" s="1477"/>
      <c r="H37" s="1484"/>
      <c r="I37" s="1477"/>
      <c r="J37" s="1477"/>
      <c r="K37" s="1477"/>
      <c r="L37" s="1480"/>
      <c r="M37" s="1464"/>
      <c r="N37" s="1469"/>
      <c r="O37" s="1464"/>
      <c r="P37" s="1469"/>
    </row>
    <row r="38" spans="1:16" ht="15.75">
      <c r="A38" s="1481">
        <v>21</v>
      </c>
      <c r="B38" s="1464"/>
      <c r="C38" s="1464"/>
      <c r="D38" s="1512">
        <v>-6972534</v>
      </c>
      <c r="E38" s="1469" t="s">
        <v>1273</v>
      </c>
      <c r="F38" s="1477"/>
      <c r="G38" s="1477"/>
      <c r="H38" s="1484"/>
      <c r="I38" s="1477"/>
      <c r="J38" s="1477"/>
      <c r="K38" s="1477"/>
      <c r="L38" s="1480"/>
      <c r="M38" s="1464"/>
      <c r="N38" s="1469"/>
      <c r="O38" s="1464"/>
      <c r="P38" s="1469"/>
    </row>
    <row r="39" spans="1:16" ht="15.75">
      <c r="A39" s="1481">
        <v>22</v>
      </c>
      <c r="B39" s="1464"/>
      <c r="C39" s="1464"/>
      <c r="D39" s="1510">
        <v>0.97713899999999998</v>
      </c>
      <c r="E39" s="1469" t="s">
        <v>1277</v>
      </c>
      <c r="F39" s="1477"/>
      <c r="G39" s="1477"/>
      <c r="H39" s="1484"/>
      <c r="I39" s="1477"/>
      <c r="J39" s="1477"/>
      <c r="K39" s="1477"/>
      <c r="L39" s="1480"/>
      <c r="M39" s="1464"/>
      <c r="N39" s="1469"/>
      <c r="O39" s="1464"/>
      <c r="P39" s="1469"/>
    </row>
    <row r="40" spans="1:16" ht="15.75">
      <c r="A40" s="1481">
        <v>23</v>
      </c>
      <c r="B40" s="1464"/>
      <c r="C40" s="1464"/>
      <c r="D40" s="1513">
        <v>6.5000000000000002E-2</v>
      </c>
      <c r="E40" s="1469" t="s">
        <v>1275</v>
      </c>
      <c r="F40" s="1477"/>
      <c r="G40" s="1477"/>
      <c r="H40" s="1484"/>
      <c r="I40" s="1477"/>
      <c r="J40" s="1477"/>
      <c r="K40" s="1477"/>
      <c r="L40" s="1480"/>
      <c r="M40" s="1464"/>
      <c r="N40" s="1469"/>
      <c r="O40" s="1464"/>
      <c r="P40" s="1469"/>
    </row>
    <row r="41" spans="1:16" ht="15.75">
      <c r="A41" s="1481">
        <v>24</v>
      </c>
      <c r="B41" s="1464"/>
      <c r="C41" s="1464"/>
      <c r="D41" s="1512">
        <v>-442853.76851468999</v>
      </c>
      <c r="E41" s="1466" t="s">
        <v>1278</v>
      </c>
      <c r="F41" s="1477"/>
      <c r="G41" s="1477"/>
      <c r="H41" s="1484"/>
      <c r="I41" s="1477"/>
      <c r="J41" s="1477"/>
      <c r="K41" s="1477"/>
      <c r="L41" s="1480"/>
      <c r="M41" s="1464"/>
      <c r="N41" s="1469"/>
      <c r="O41" s="1464"/>
      <c r="P41" s="1469"/>
    </row>
    <row r="42" spans="1:16" ht="15">
      <c r="A42" s="1481">
        <v>25</v>
      </c>
      <c r="B42" s="1482"/>
      <c r="C42" s="1464"/>
      <c r="D42" s="1503"/>
      <c r="E42" s="1464"/>
      <c r="F42" s="1480"/>
      <c r="G42" s="1480"/>
      <c r="H42" s="1485"/>
      <c r="I42" s="1486"/>
      <c r="J42" s="1480"/>
      <c r="K42" s="1480"/>
      <c r="L42" s="1480">
        <v>0</v>
      </c>
      <c r="M42" s="1464"/>
      <c r="N42" s="1469">
        <v>0</v>
      </c>
      <c r="O42" s="1464"/>
      <c r="P42" s="1469"/>
    </row>
    <row r="43" spans="1:16" ht="15">
      <c r="A43" s="1481">
        <v>26</v>
      </c>
      <c r="B43" s="1482"/>
      <c r="C43" s="1464"/>
      <c r="D43" s="1511">
        <v>5141.7208849499584</v>
      </c>
      <c r="E43" s="1466" t="s">
        <v>1279</v>
      </c>
      <c r="F43" s="1515">
        <v>5141.7208849499584</v>
      </c>
      <c r="G43" s="1487"/>
      <c r="H43" s="1516">
        <v>-1.1610425947587712E-2</v>
      </c>
      <c r="I43" s="1486"/>
      <c r="J43" s="1480"/>
      <c r="K43" s="1480"/>
      <c r="L43" s="1480">
        <v>5141.7208849499584</v>
      </c>
      <c r="M43" s="1466" t="s">
        <v>1071</v>
      </c>
      <c r="N43" s="1469">
        <v>-437712.04762974003</v>
      </c>
      <c r="O43" s="1466"/>
      <c r="P43" s="1469"/>
    </row>
    <row r="44" spans="1:16" ht="15">
      <c r="A44" s="1481">
        <v>27</v>
      </c>
      <c r="B44" s="1482"/>
      <c r="C44" s="1464"/>
      <c r="D44" s="1503"/>
      <c r="E44" s="1466" t="s">
        <v>1280</v>
      </c>
      <c r="F44" s="1480">
        <v>-1079.7613858394911</v>
      </c>
      <c r="G44" s="1480"/>
      <c r="H44" s="1485"/>
      <c r="I44" s="1488"/>
      <c r="J44" s="1480">
        <v>0</v>
      </c>
      <c r="K44" s="1480"/>
      <c r="L44" s="1480">
        <v>-1079.7613858394911</v>
      </c>
      <c r="M44" s="1466" t="s">
        <v>1071</v>
      </c>
      <c r="N44" s="1497"/>
      <c r="O44" s="1466"/>
      <c r="P44" s="1497"/>
    </row>
    <row r="45" spans="1:16" ht="15">
      <c r="A45" s="1481">
        <v>28</v>
      </c>
      <c r="B45" s="1464"/>
      <c r="C45" s="1464"/>
      <c r="D45" s="1508"/>
      <c r="E45" s="1469"/>
      <c r="F45" s="1487"/>
      <c r="G45" s="1487"/>
      <c r="H45" s="1485"/>
      <c r="I45" s="1487"/>
      <c r="J45" s="1480"/>
      <c r="K45" s="1480"/>
      <c r="L45" s="1480"/>
      <c r="M45" s="1464"/>
      <c r="N45" s="1469"/>
      <c r="O45" s="1466"/>
      <c r="P45" s="1469"/>
    </row>
    <row r="46" spans="1:16" ht="15">
      <c r="A46" s="1481">
        <v>29</v>
      </c>
      <c r="B46" s="1466" t="s">
        <v>118</v>
      </c>
      <c r="C46" s="1464"/>
      <c r="D46" s="1507">
        <v>-442853.76851468999</v>
      </c>
      <c r="E46" s="1469" t="s">
        <v>1282</v>
      </c>
      <c r="F46" s="1492">
        <v>4061.9594991104673</v>
      </c>
      <c r="G46" s="1493"/>
      <c r="H46" s="1498"/>
      <c r="I46" s="1478"/>
      <c r="J46" s="1492">
        <v>0</v>
      </c>
      <c r="K46" s="1480"/>
      <c r="L46" s="1492">
        <v>4061.9594991104673</v>
      </c>
      <c r="M46" s="1464"/>
      <c r="N46" s="1492">
        <v>-437712.04762974003</v>
      </c>
      <c r="O46" s="1466"/>
      <c r="P46" s="1469"/>
    </row>
    <row r="47" spans="1:16" ht="15">
      <c r="A47" s="1481"/>
      <c r="B47" s="1464"/>
      <c r="C47" s="1464"/>
      <c r="D47" s="1508"/>
      <c r="E47" s="1469"/>
      <c r="F47" s="1493"/>
      <c r="G47" s="1493"/>
      <c r="H47" s="1498"/>
      <c r="I47" s="1478"/>
      <c r="J47" s="1493"/>
      <c r="K47" s="1480"/>
      <c r="L47" s="1493"/>
      <c r="M47" s="1464"/>
      <c r="N47" s="1469"/>
      <c r="O47" s="1466"/>
      <c r="P47" s="1469"/>
    </row>
    <row r="48" spans="1:16" ht="15">
      <c r="A48" s="1481"/>
      <c r="B48" s="1464"/>
      <c r="C48" s="1464"/>
      <c r="D48" s="1508"/>
      <c r="E48" s="1469"/>
      <c r="F48" s="1493"/>
      <c r="G48" s="1493"/>
      <c r="H48" s="1498"/>
      <c r="I48" s="1478"/>
      <c r="J48" s="1493"/>
      <c r="K48" s="1480"/>
      <c r="L48" s="1493"/>
      <c r="M48" s="1464"/>
      <c r="N48" s="1469"/>
      <c r="O48" s="1466"/>
      <c r="P48" s="1469"/>
    </row>
    <row r="49" spans="1:16" ht="15">
      <c r="A49" s="1582" t="s">
        <v>1221</v>
      </c>
      <c r="B49" s="1582"/>
      <c r="C49" s="1582"/>
      <c r="D49" s="1582"/>
      <c r="E49" s="1582"/>
      <c r="F49" s="1582"/>
      <c r="G49" s="1582"/>
      <c r="H49" s="1582"/>
      <c r="I49" s="1478"/>
      <c r="J49" s="1478"/>
      <c r="K49" s="1478"/>
      <c r="L49" s="1478"/>
      <c r="M49" s="1464"/>
      <c r="N49" s="1469"/>
      <c r="O49" s="1466"/>
      <c r="P49" s="1469"/>
    </row>
    <row r="50" spans="1:16" ht="15">
      <c r="A50" s="1582"/>
      <c r="B50" s="1582"/>
      <c r="C50" s="1582"/>
      <c r="D50" s="1582"/>
      <c r="E50" s="1582"/>
      <c r="F50" s="1582"/>
      <c r="G50" s="1582"/>
      <c r="H50" s="1582"/>
      <c r="I50" s="1478"/>
      <c r="J50" s="1478"/>
      <c r="K50" s="1478"/>
      <c r="L50" s="1478"/>
      <c r="M50" s="1464"/>
      <c r="N50" s="1469"/>
      <c r="O50" s="1466"/>
      <c r="P50" s="1469"/>
    </row>
    <row r="51" spans="1:16" ht="15">
      <c r="A51" s="1582"/>
      <c r="B51" s="1582"/>
      <c r="C51" s="1582"/>
      <c r="D51" s="1582"/>
      <c r="E51" s="1582"/>
      <c r="F51" s="1582"/>
      <c r="G51" s="1582"/>
      <c r="H51" s="1582"/>
      <c r="I51" s="1478"/>
      <c r="J51" s="1478"/>
      <c r="K51" s="1478"/>
      <c r="L51" s="1478"/>
      <c r="M51" s="1464"/>
      <c r="N51" s="1469"/>
      <c r="O51" s="1466"/>
      <c r="P51" s="1469"/>
    </row>
    <row r="52" spans="1:16" ht="15">
      <c r="A52" s="1582"/>
      <c r="B52" s="1582"/>
      <c r="C52" s="1582"/>
      <c r="D52" s="1582"/>
      <c r="E52" s="1582"/>
      <c r="F52" s="1582"/>
      <c r="G52" s="1582"/>
      <c r="H52" s="1582"/>
      <c r="I52" s="1478"/>
      <c r="J52" s="1478"/>
      <c r="K52" s="1478"/>
      <c r="L52" s="1478"/>
      <c r="M52" s="1464"/>
      <c r="N52" s="1469"/>
      <c r="O52" s="1466"/>
      <c r="P52" s="1469"/>
    </row>
    <row r="53" spans="1:16" ht="15">
      <c r="A53" s="1481"/>
      <c r="B53" s="1464"/>
      <c r="C53" s="1464"/>
      <c r="D53" s="1464"/>
      <c r="E53" s="1464"/>
      <c r="F53" s="1478"/>
      <c r="G53" s="1478"/>
      <c r="H53" s="1478"/>
      <c r="I53" s="1478"/>
      <c r="J53" s="1478"/>
      <c r="K53" s="1478"/>
      <c r="L53" s="1478"/>
      <c r="M53" s="1464"/>
      <c r="N53" s="1469"/>
      <c r="O53" s="1466"/>
      <c r="P53" s="1469"/>
    </row>
    <row r="54" spans="1:16" ht="15">
      <c r="A54" s="1465" t="s">
        <v>1222</v>
      </c>
      <c r="B54" s="1582" t="s">
        <v>1223</v>
      </c>
      <c r="C54" s="1582"/>
      <c r="D54" s="1582"/>
      <c r="E54" s="1582"/>
      <c r="F54" s="1582"/>
      <c r="G54" s="1582"/>
      <c r="H54" s="1582"/>
      <c r="I54" s="1478"/>
      <c r="J54" s="1478"/>
      <c r="K54" s="1478"/>
      <c r="L54" s="1478"/>
      <c r="M54" s="1464"/>
      <c r="N54" s="1469"/>
      <c r="O54" s="1466"/>
      <c r="P54" s="1469"/>
    </row>
    <row r="55" spans="1:16" ht="15">
      <c r="A55" s="1464"/>
      <c r="B55" s="1582"/>
      <c r="C55" s="1582"/>
      <c r="D55" s="1582"/>
      <c r="E55" s="1582"/>
      <c r="F55" s="1582"/>
      <c r="G55" s="1582"/>
      <c r="H55" s="1582"/>
      <c r="I55" s="1478"/>
      <c r="J55" s="1478"/>
      <c r="K55" s="1478"/>
      <c r="L55" s="1478"/>
      <c r="M55" s="1464"/>
      <c r="N55" s="1469"/>
      <c r="O55" s="1466"/>
      <c r="P55" s="1469"/>
    </row>
    <row r="56" spans="1:16" ht="15">
      <c r="A56" s="1464"/>
      <c r="B56" s="1582"/>
      <c r="C56" s="1582"/>
      <c r="D56" s="1582"/>
      <c r="E56" s="1582"/>
      <c r="F56" s="1582"/>
      <c r="G56" s="1582"/>
      <c r="H56" s="1582"/>
      <c r="I56" s="1478"/>
      <c r="J56" s="1478"/>
      <c r="K56" s="1478"/>
      <c r="L56" s="1478"/>
      <c r="M56" s="1464"/>
      <c r="N56" s="1469"/>
      <c r="O56" s="1466"/>
      <c r="P56" s="1469"/>
    </row>
    <row r="57" spans="1:16" ht="15.75">
      <c r="A57" s="1466"/>
      <c r="B57" s="1464"/>
      <c r="C57" s="1464"/>
      <c r="D57" s="1464"/>
      <c r="E57" s="1464"/>
      <c r="F57" s="1464"/>
      <c r="G57" s="1464"/>
      <c r="H57" s="1464"/>
      <c r="I57" s="1499"/>
      <c r="J57" s="1469"/>
      <c r="K57" s="1469"/>
      <c r="L57" s="1469"/>
      <c r="M57" s="1469"/>
      <c r="N57" s="1469"/>
      <c r="O57" s="1464"/>
      <c r="P57" s="1464"/>
    </row>
    <row r="58" spans="1:16" ht="15">
      <c r="A58" s="1465" t="s">
        <v>1224</v>
      </c>
      <c r="B58" s="1582" t="s">
        <v>1283</v>
      </c>
      <c r="C58" s="1582"/>
      <c r="D58" s="1582"/>
      <c r="E58" s="1582"/>
      <c r="F58" s="1582"/>
      <c r="G58" s="1582"/>
      <c r="H58" s="1582"/>
      <c r="I58" s="1464"/>
      <c r="J58" s="1469"/>
      <c r="K58" s="1469"/>
      <c r="L58" s="1469"/>
      <c r="M58" s="1469"/>
      <c r="N58" s="1469"/>
      <c r="O58" s="1464"/>
      <c r="P58" s="1464"/>
    </row>
    <row r="59" spans="1:16" ht="15">
      <c r="A59" s="1464"/>
      <c r="B59" s="1582"/>
      <c r="C59" s="1582"/>
      <c r="D59" s="1582"/>
      <c r="E59" s="1582"/>
      <c r="F59" s="1582"/>
      <c r="G59" s="1582"/>
      <c r="H59" s="1582"/>
      <c r="I59" s="1464"/>
      <c r="J59" s="1469"/>
      <c r="K59" s="1469"/>
      <c r="L59" s="1469"/>
      <c r="M59" s="1469"/>
      <c r="N59" s="1469"/>
      <c r="O59" s="1464"/>
      <c r="P59" s="1464"/>
    </row>
    <row r="60" spans="1:16" ht="15">
      <c r="A60" s="1466"/>
      <c r="B60" s="1464"/>
      <c r="C60" s="1464"/>
      <c r="D60" s="1464"/>
      <c r="E60" s="1464"/>
      <c r="F60" s="1464"/>
      <c r="G60" s="1464"/>
      <c r="H60" s="1464"/>
      <c r="I60" s="1464"/>
      <c r="J60" s="1469"/>
      <c r="K60" s="1469"/>
      <c r="L60" s="1469"/>
      <c r="M60" s="1469"/>
      <c r="N60" s="1469"/>
      <c r="O60" s="1464"/>
      <c r="P60" s="1464"/>
    </row>
    <row r="61" spans="1:16" ht="15">
      <c r="A61" s="1465" t="s">
        <v>1226</v>
      </c>
      <c r="B61" s="1583" t="s">
        <v>1284</v>
      </c>
      <c r="C61" s="1583"/>
      <c r="D61" s="1583"/>
      <c r="E61" s="1583"/>
      <c r="F61" s="1583"/>
      <c r="G61" s="1583"/>
      <c r="H61" s="1583"/>
      <c r="I61" s="1583"/>
      <c r="J61" s="1469"/>
      <c r="K61" s="1469"/>
      <c r="L61" s="1469"/>
      <c r="M61" s="1469"/>
      <c r="N61" s="1469"/>
      <c r="O61" s="1464"/>
      <c r="P61" s="1464"/>
    </row>
    <row r="62" spans="1:16" ht="15.75">
      <c r="A62" s="1500"/>
      <c r="B62" s="1583"/>
      <c r="C62" s="1583"/>
      <c r="D62" s="1583"/>
      <c r="E62" s="1583"/>
      <c r="F62" s="1583"/>
      <c r="G62" s="1583"/>
      <c r="H62" s="1583"/>
      <c r="I62" s="1583"/>
      <c r="J62" s="1469"/>
      <c r="K62" s="1469"/>
      <c r="L62" s="1469"/>
      <c r="M62" s="1469"/>
      <c r="N62" s="1469"/>
      <c r="O62" s="1464"/>
      <c r="P62" s="1464"/>
    </row>
    <row r="63" spans="1:16" ht="15">
      <c r="A63" s="1466"/>
      <c r="B63" s="1464"/>
      <c r="C63" s="1464"/>
      <c r="D63" s="1464"/>
      <c r="E63" s="1464"/>
      <c r="F63" s="1464"/>
      <c r="G63" s="1464"/>
      <c r="H63" s="1464"/>
      <c r="I63" s="1464"/>
      <c r="J63" s="1469"/>
      <c r="K63" s="1469"/>
      <c r="L63" s="1469"/>
      <c r="M63" s="1469"/>
      <c r="N63" s="1469"/>
      <c r="O63" s="1464"/>
      <c r="P63" s="1464"/>
    </row>
    <row r="64" spans="1:16" ht="15">
      <c r="A64" s="1466" t="s">
        <v>1228</v>
      </c>
      <c r="B64" s="1580" t="s">
        <v>1285</v>
      </c>
      <c r="C64" s="1580"/>
      <c r="D64" s="1580"/>
      <c r="E64" s="1580"/>
      <c r="F64" s="1580"/>
      <c r="G64" s="1464"/>
      <c r="H64" s="1464"/>
      <c r="I64" s="1464"/>
      <c r="J64" s="1469"/>
      <c r="K64" s="1469"/>
      <c r="L64" s="1469"/>
      <c r="M64" s="1469"/>
      <c r="N64" s="1469"/>
      <c r="O64" s="1464"/>
      <c r="P64" s="1464"/>
    </row>
    <row r="65" spans="1:16" ht="15">
      <c r="A65" s="1464"/>
      <c r="B65" s="1580"/>
      <c r="C65" s="1580"/>
      <c r="D65" s="1580"/>
      <c r="E65" s="1580"/>
      <c r="F65" s="1580"/>
      <c r="G65" s="1464"/>
      <c r="H65" s="1464"/>
      <c r="I65" s="1464"/>
      <c r="J65" s="1469"/>
      <c r="K65" s="1469"/>
      <c r="L65" s="1469"/>
      <c r="M65" s="1469"/>
      <c r="N65" s="1469"/>
      <c r="O65" s="1464"/>
      <c r="P65" s="1464"/>
    </row>
    <row r="66" spans="1:16" ht="15">
      <c r="A66" s="1466"/>
      <c r="B66" s="1464"/>
      <c r="C66" s="1464"/>
      <c r="D66" s="1464"/>
      <c r="E66" s="1464"/>
      <c r="F66" s="1464"/>
      <c r="G66" s="1464"/>
      <c r="H66" s="1464"/>
      <c r="I66" s="1464"/>
      <c r="J66" s="1469"/>
      <c r="K66" s="1469"/>
      <c r="L66" s="1469"/>
      <c r="M66" s="1469"/>
      <c r="N66" s="1469"/>
      <c r="O66" s="1464"/>
      <c r="P66" s="1464"/>
    </row>
    <row r="67" spans="1:16" ht="15">
      <c r="A67" s="1466"/>
      <c r="B67" s="1464"/>
      <c r="C67" s="1464"/>
      <c r="D67" s="1464"/>
      <c r="E67" s="1464"/>
      <c r="F67" s="1464"/>
      <c r="G67" s="1464"/>
      <c r="H67" s="1464"/>
      <c r="I67" s="1464"/>
      <c r="J67" s="1469"/>
      <c r="K67" s="1469"/>
      <c r="L67" s="1469"/>
      <c r="M67" s="1469"/>
      <c r="N67" s="1469"/>
      <c r="O67" s="1464"/>
      <c r="P67" s="1464"/>
    </row>
    <row r="68" spans="1:16" ht="15">
      <c r="A68" s="1464"/>
      <c r="B68" s="1464"/>
      <c r="C68" s="1464"/>
      <c r="D68" s="1464"/>
      <c r="E68" s="1501"/>
      <c r="F68" s="1464"/>
      <c r="G68" s="1464"/>
      <c r="H68" s="1464"/>
      <c r="I68" s="1469"/>
      <c r="J68" s="1469"/>
      <c r="K68" s="1469"/>
      <c r="L68" s="1469"/>
      <c r="M68" s="1464"/>
      <c r="N68" s="1464"/>
      <c r="O68" s="1464"/>
      <c r="P68" s="1464"/>
    </row>
    <row r="69" spans="1:16" ht="15">
      <c r="A69" s="1464"/>
      <c r="B69" s="1464"/>
      <c r="C69" s="1464"/>
      <c r="D69" s="1464"/>
      <c r="E69" s="1464"/>
      <c r="F69" s="1464"/>
      <c r="G69" s="1502"/>
      <c r="H69" s="1502"/>
      <c r="I69" s="1469"/>
      <c r="J69" s="1469"/>
      <c r="K69" s="1469"/>
      <c r="L69" s="1469"/>
      <c r="M69" s="1464"/>
      <c r="N69" s="1464"/>
      <c r="O69" s="1464"/>
      <c r="P69" s="1464"/>
    </row>
    <row r="70" spans="1:16" ht="15">
      <c r="A70" s="1464"/>
      <c r="B70" s="1464"/>
      <c r="C70" s="1464"/>
      <c r="D70" s="1464"/>
      <c r="E70" s="1464"/>
      <c r="F70" s="1464"/>
      <c r="G70" s="1502"/>
      <c r="H70" s="1502"/>
      <c r="I70" s="1469"/>
      <c r="J70" s="1464"/>
      <c r="K70" s="1464"/>
      <c r="L70" s="1464"/>
      <c r="M70" s="1464"/>
      <c r="N70" s="1464"/>
      <c r="O70" s="1464"/>
      <c r="P70" s="1464"/>
    </row>
    <row r="71" spans="1:16" ht="15">
      <c r="A71" s="1464"/>
      <c r="B71" s="1464"/>
      <c r="C71" s="1464"/>
      <c r="D71" s="1464"/>
      <c r="E71" s="1464"/>
      <c r="F71" s="1464"/>
      <c r="G71" s="1464"/>
      <c r="H71" s="1464"/>
      <c r="I71" s="1464"/>
      <c r="J71" s="1464"/>
      <c r="K71" s="1464"/>
      <c r="L71" s="1464"/>
      <c r="M71" s="1464"/>
      <c r="N71" s="1464"/>
      <c r="O71" s="1464"/>
      <c r="P71" s="1464"/>
    </row>
    <row r="74" spans="1:16" ht="15.75">
      <c r="A74" s="1500"/>
      <c r="B74" s="1499"/>
      <c r="C74" s="1499"/>
      <c r="D74" s="1509"/>
      <c r="E74" s="1499"/>
      <c r="F74" s="1499"/>
      <c r="G74" s="1499"/>
      <c r="H74" s="1499"/>
      <c r="I74" s="1499"/>
      <c r="J74" s="1499"/>
      <c r="K74" s="1499"/>
      <c r="L74" s="1499"/>
      <c r="M74" s="1499"/>
      <c r="N74" s="1499"/>
      <c r="O74" s="1499"/>
      <c r="P74" s="1464"/>
    </row>
    <row r="75" spans="1:16" ht="15.75">
      <c r="A75" s="1500"/>
      <c r="B75" s="1499"/>
      <c r="C75" s="1499"/>
      <c r="D75" s="1509"/>
      <c r="E75" s="1499"/>
      <c r="F75" s="1499"/>
      <c r="G75" s="1499"/>
      <c r="H75" s="1499"/>
      <c r="I75" s="1499"/>
      <c r="J75" s="1499"/>
      <c r="K75" s="1499"/>
      <c r="L75" s="1499"/>
      <c r="M75" s="1499"/>
      <c r="N75" s="1499"/>
      <c r="O75" s="1499"/>
      <c r="P75" s="1464"/>
    </row>
    <row r="76" spans="1:16" ht="15.75">
      <c r="A76" s="1500"/>
      <c r="B76" s="1499"/>
      <c r="C76" s="1499"/>
      <c r="D76" s="1509"/>
      <c r="E76" s="1499"/>
      <c r="F76" s="1499"/>
      <c r="G76" s="1499"/>
      <c r="H76" s="1499"/>
      <c r="I76" s="1499"/>
      <c r="J76" s="1499"/>
      <c r="K76" s="1499"/>
      <c r="L76" s="1499"/>
      <c r="M76" s="1499"/>
      <c r="N76" s="1499"/>
      <c r="O76" s="1499"/>
      <c r="P76" s="1464"/>
    </row>
    <row r="77" spans="1:16" ht="15">
      <c r="A77" s="1500"/>
      <c r="B77" s="1499"/>
      <c r="C77" s="1499"/>
      <c r="D77" s="1509"/>
      <c r="E77" s="1499"/>
      <c r="F77" s="1499"/>
      <c r="G77" s="1499"/>
      <c r="H77" s="1499"/>
      <c r="I77" s="1499"/>
      <c r="J77" s="1499"/>
      <c r="K77" s="1499"/>
      <c r="L77" s="1499"/>
      <c r="M77" s="1499"/>
      <c r="N77" s="1499"/>
      <c r="O77" s="1499"/>
      <c r="P77" s="1469"/>
    </row>
    <row r="78" spans="1:16" ht="15">
      <c r="A78" s="1500"/>
      <c r="B78" s="1499"/>
      <c r="C78" s="1499"/>
      <c r="D78" s="1509"/>
      <c r="E78" s="1499"/>
      <c r="F78" s="1499"/>
      <c r="G78" s="1499"/>
      <c r="H78" s="1499"/>
      <c r="I78" s="1499"/>
      <c r="J78" s="1499"/>
      <c r="K78" s="1499"/>
      <c r="L78" s="1499"/>
      <c r="M78" s="1499"/>
      <c r="N78" s="1499"/>
      <c r="O78" s="1499"/>
      <c r="P78" s="1469"/>
    </row>
    <row r="79" spans="1:16" ht="15">
      <c r="A79" s="1500"/>
      <c r="B79" s="1499"/>
      <c r="C79" s="1499"/>
      <c r="D79" s="1509"/>
      <c r="E79" s="1499"/>
      <c r="F79" s="1499"/>
      <c r="G79" s="1499"/>
      <c r="H79" s="1499"/>
      <c r="I79" s="1499"/>
      <c r="J79" s="1499"/>
      <c r="K79" s="1499"/>
      <c r="L79" s="1499"/>
      <c r="M79" s="1499"/>
      <c r="N79" s="1499"/>
      <c r="O79" s="1499"/>
      <c r="P79" s="1469"/>
    </row>
    <row r="80" spans="1:16" ht="15">
      <c r="A80" s="1500"/>
      <c r="B80" s="1499"/>
      <c r="C80" s="1499"/>
      <c r="D80" s="1509"/>
      <c r="E80" s="1499"/>
      <c r="F80" s="1499"/>
      <c r="G80" s="1499"/>
      <c r="H80" s="1499"/>
      <c r="I80" s="1499"/>
      <c r="J80" s="1499"/>
      <c r="K80" s="1499"/>
      <c r="L80" s="1499"/>
      <c r="M80" s="1499"/>
      <c r="N80" s="1499"/>
      <c r="O80" s="1499"/>
      <c r="P80" s="1469"/>
    </row>
    <row r="81" spans="1:16" ht="15">
      <c r="A81" s="1500"/>
      <c r="B81" s="1499"/>
      <c r="C81" s="1499"/>
      <c r="D81" s="1509"/>
      <c r="E81" s="1499"/>
      <c r="F81" s="1499"/>
      <c r="G81" s="1499"/>
      <c r="H81" s="1499"/>
      <c r="I81" s="1499"/>
      <c r="J81" s="1499"/>
      <c r="K81" s="1499"/>
      <c r="L81" s="1499"/>
      <c r="M81" s="1499"/>
      <c r="N81" s="1499"/>
      <c r="O81" s="1499"/>
      <c r="P81" s="1469"/>
    </row>
    <row r="82" spans="1:16" ht="15">
      <c r="A82" s="1500"/>
      <c r="B82" s="1499"/>
      <c r="C82" s="1499"/>
      <c r="D82" s="1509"/>
      <c r="E82" s="1499"/>
      <c r="F82" s="1499"/>
      <c r="G82" s="1499"/>
      <c r="H82" s="1499"/>
      <c r="I82" s="1499"/>
      <c r="J82" s="1499"/>
      <c r="K82" s="1499"/>
      <c r="L82" s="1499"/>
      <c r="M82" s="1499"/>
      <c r="N82" s="1499"/>
      <c r="O82" s="1499"/>
      <c r="P82" s="1469"/>
    </row>
    <row r="83" spans="1:16" ht="15">
      <c r="A83" s="1500"/>
      <c r="B83" s="1499"/>
      <c r="C83" s="1499"/>
      <c r="D83" s="1509"/>
      <c r="E83" s="1499"/>
      <c r="F83" s="1499"/>
      <c r="G83" s="1499"/>
      <c r="H83" s="1499"/>
      <c r="I83" s="1499"/>
      <c r="J83" s="1499"/>
      <c r="K83" s="1499"/>
      <c r="L83" s="1499"/>
      <c r="M83" s="1499"/>
      <c r="N83" s="1499"/>
      <c r="O83" s="1499"/>
      <c r="P83" s="1469"/>
    </row>
    <row r="84" spans="1:16" ht="15">
      <c r="A84" s="1500"/>
      <c r="B84" s="1499"/>
      <c r="C84" s="1499"/>
      <c r="D84" s="1509"/>
      <c r="E84" s="1499"/>
      <c r="F84" s="1499"/>
      <c r="G84" s="1499"/>
      <c r="H84" s="1499"/>
      <c r="I84" s="1499"/>
      <c r="J84" s="1499"/>
      <c r="K84" s="1499"/>
      <c r="L84" s="1499"/>
      <c r="M84" s="1499"/>
      <c r="N84" s="1499"/>
      <c r="O84" s="1499"/>
      <c r="P84" s="1469"/>
    </row>
    <row r="85" spans="1:16" ht="15">
      <c r="A85" s="1500"/>
      <c r="B85" s="1499"/>
      <c r="C85" s="1499"/>
      <c r="D85" s="1509"/>
      <c r="E85" s="1499"/>
      <c r="F85" s="1499"/>
      <c r="G85" s="1499"/>
      <c r="H85" s="1499"/>
      <c r="I85" s="1499"/>
      <c r="J85" s="1499"/>
      <c r="K85" s="1499"/>
      <c r="L85" s="1499"/>
      <c r="M85" s="1499"/>
      <c r="N85" s="1499"/>
      <c r="O85" s="1499"/>
      <c r="P85" s="1469"/>
    </row>
    <row r="86" spans="1:16" ht="15.75">
      <c r="A86" s="1500"/>
      <c r="B86" s="1499"/>
      <c r="C86" s="1499"/>
      <c r="D86" s="1509"/>
      <c r="E86" s="1499"/>
      <c r="F86" s="1499"/>
      <c r="G86" s="1499"/>
      <c r="H86" s="1499"/>
      <c r="I86" s="1499"/>
      <c r="J86" s="1499"/>
      <c r="K86" s="1499"/>
      <c r="L86" s="1499"/>
      <c r="M86" s="1499"/>
      <c r="N86" s="1499"/>
      <c r="O86" s="1499"/>
      <c r="P86" s="1464"/>
    </row>
  </sheetData>
  <mergeCells count="7">
    <mergeCell ref="B64:F65"/>
    <mergeCell ref="A7:N7"/>
    <mergeCell ref="Q9:Q10"/>
    <mergeCell ref="A49:H52"/>
    <mergeCell ref="B54:H56"/>
    <mergeCell ref="B58:H59"/>
    <mergeCell ref="B61:I6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O75"/>
  <sheetViews>
    <sheetView view="pageBreakPreview" topLeftCell="A22" zoomScaleNormal="85" zoomScaleSheetLayoutView="100" workbookViewId="0">
      <selection activeCell="E20" sqref="E20"/>
    </sheetView>
  </sheetViews>
  <sheetFormatPr defaultColWidth="11.42578125" defaultRowHeight="12.75"/>
  <cols>
    <col min="1" max="1" width="8.140625" style="65" customWidth="1"/>
    <col min="2" max="2" width="16.5703125" style="66" bestFit="1" customWidth="1"/>
    <col min="3" max="3" width="44.140625" style="66" customWidth="1"/>
    <col min="4" max="4" width="29.5703125" style="66" customWidth="1"/>
    <col min="5" max="5" width="24.42578125" style="75" customWidth="1"/>
    <col min="6" max="6" width="1" style="75" customWidth="1"/>
    <col min="7" max="7" width="20.85546875" style="66" customWidth="1"/>
    <col min="8" max="8" width="1" style="66" customWidth="1"/>
    <col min="9" max="9" width="19.140625" style="66" customWidth="1"/>
    <col min="10" max="10" width="16.5703125" style="66" customWidth="1"/>
    <col min="11" max="11" width="15.42578125" style="66" customWidth="1"/>
    <col min="12" max="12" width="33.5703125" style="66" customWidth="1"/>
    <col min="13" max="14" width="13.42578125" style="66" customWidth="1"/>
    <col min="15" max="15" width="13.5703125" style="66" customWidth="1"/>
    <col min="16" max="16384" width="11.42578125" style="66"/>
  </cols>
  <sheetData>
    <row r="1" spans="1:15" ht="15.75">
      <c r="A1" s="881" t="s">
        <v>114</v>
      </c>
    </row>
    <row r="2" spans="1:15" ht="15.75">
      <c r="A2" s="881" t="s">
        <v>114</v>
      </c>
    </row>
    <row r="3" spans="1:15" ht="15">
      <c r="A3" s="1553" t="str">
        <f>+'WS B ADIT &amp; ITC'!A3:I3</f>
        <v>AEP East Companies</v>
      </c>
      <c r="B3" s="1553"/>
      <c r="C3" s="1553"/>
      <c r="D3" s="1553"/>
      <c r="E3" s="1553"/>
      <c r="F3" s="1553"/>
      <c r="G3" s="1553"/>
      <c r="H3" s="1553"/>
      <c r="I3" s="1553"/>
      <c r="J3" s="1553"/>
      <c r="K3" s="1553"/>
      <c r="L3" s="1553"/>
      <c r="M3" s="37"/>
      <c r="N3" s="37"/>
      <c r="O3" s="37"/>
    </row>
    <row r="4" spans="1:15" ht="15">
      <c r="A4" s="1554" t="str">
        <f>"Cost of Service Formula Rate Using Actual/Projected FF1 Balances"</f>
        <v>Cost of Service Formula Rate Using Actual/Projected FF1 Balances</v>
      </c>
      <c r="B4" s="1554"/>
      <c r="C4" s="1554"/>
      <c r="D4" s="1554"/>
      <c r="E4" s="1554"/>
      <c r="F4" s="1554"/>
      <c r="G4" s="1554"/>
      <c r="H4" s="1554"/>
      <c r="I4" s="1554"/>
      <c r="J4" s="1554"/>
      <c r="K4" s="1554"/>
      <c r="L4" s="1554"/>
      <c r="M4" s="93"/>
      <c r="N4" s="93"/>
      <c r="O4" s="93"/>
    </row>
    <row r="5" spans="1:15" ht="15">
      <c r="A5" s="1554" t="s">
        <v>494</v>
      </c>
      <c r="B5" s="1554"/>
      <c r="C5" s="1554"/>
      <c r="D5" s="1554"/>
      <c r="E5" s="1554"/>
      <c r="F5" s="1554"/>
      <c r="G5" s="1554"/>
      <c r="H5" s="1554"/>
      <c r="I5" s="1554"/>
      <c r="J5" s="1554"/>
      <c r="K5" s="1554"/>
      <c r="L5" s="1554"/>
      <c r="M5" s="92"/>
      <c r="N5" s="92"/>
      <c r="O5" s="92"/>
    </row>
    <row r="6" spans="1:15" ht="15">
      <c r="A6" s="1565" t="str">
        <f>TCOS!F9</f>
        <v>WHEELING POWER COMPANY</v>
      </c>
      <c r="B6" s="1565"/>
      <c r="C6" s="1565"/>
      <c r="D6" s="1565"/>
      <c r="E6" s="1565"/>
      <c r="F6" s="1565"/>
      <c r="G6" s="1565"/>
      <c r="H6" s="1565"/>
      <c r="I6" s="1565"/>
      <c r="J6" s="1565"/>
      <c r="K6" s="1565"/>
      <c r="L6" s="1565"/>
      <c r="M6" s="3"/>
      <c r="N6" s="3"/>
      <c r="O6" s="3"/>
    </row>
    <row r="7" spans="1:15" ht="15">
      <c r="A7" s="3"/>
      <c r="B7" s="3"/>
      <c r="C7" s="3"/>
      <c r="D7" s="3"/>
      <c r="E7" s="3"/>
      <c r="F7" s="3"/>
      <c r="G7" s="3"/>
      <c r="H7" s="2"/>
      <c r="I7" s="64"/>
      <c r="J7" s="64"/>
      <c r="K7" s="64"/>
      <c r="L7" s="64"/>
      <c r="M7" s="64"/>
      <c r="N7" s="64"/>
      <c r="O7" s="64"/>
    </row>
    <row r="8" spans="1:15" ht="12.75" customHeight="1">
      <c r="A8" s="90"/>
      <c r="B8" s="90" t="s">
        <v>162</v>
      </c>
      <c r="C8" s="90" t="s">
        <v>163</v>
      </c>
      <c r="D8" s="88" t="s">
        <v>4</v>
      </c>
      <c r="E8" s="88" t="s">
        <v>165</v>
      </c>
      <c r="F8" s="90"/>
      <c r="G8" s="90" t="s">
        <v>84</v>
      </c>
      <c r="H8" s="90"/>
      <c r="I8" s="90" t="s">
        <v>85</v>
      </c>
      <c r="J8" s="90" t="s">
        <v>86</v>
      </c>
      <c r="K8" s="90" t="s">
        <v>91</v>
      </c>
      <c r="L8" s="90" t="s">
        <v>499</v>
      </c>
      <c r="M8" s="90"/>
      <c r="N8" s="90"/>
      <c r="O8" s="90"/>
    </row>
    <row r="9" spans="1:15">
      <c r="A9" s="63"/>
    </row>
    <row r="10" spans="1:15" ht="18">
      <c r="A10" s="87"/>
      <c r="B10" s="1585" t="s">
        <v>207</v>
      </c>
      <c r="C10" s="1585"/>
      <c r="D10" s="1585"/>
      <c r="E10" s="1585"/>
      <c r="F10" s="1585"/>
      <c r="G10" s="1585"/>
      <c r="H10" s="1585"/>
      <c r="I10" s="1585"/>
      <c r="J10" s="1585"/>
      <c r="K10" s="1585"/>
      <c r="O10" s="75"/>
    </row>
    <row r="11" spans="1:15">
      <c r="A11" s="87"/>
      <c r="I11" s="15"/>
      <c r="J11" s="15"/>
      <c r="O11" s="75"/>
    </row>
    <row r="12" spans="1:15" ht="12.75" customHeight="1">
      <c r="A12" s="11" t="s">
        <v>169</v>
      </c>
      <c r="B12" s="68"/>
      <c r="C12" s="76"/>
      <c r="D12" s="181"/>
      <c r="E12" s="1587" t="str">
        <f>"Balance @ December 31, "&amp;TCOS!L4&amp;""</f>
        <v>Balance @ December 31, 2022</v>
      </c>
      <c r="F12" s="181"/>
      <c r="G12" s="1587" t="str">
        <f>"Balance @ December 31, "&amp;TCOS!L4-1&amp;""</f>
        <v>Balance @ December 31, 2021</v>
      </c>
      <c r="H12" s="229"/>
      <c r="I12" s="1566" t="str">
        <f>"Average Balance for "&amp;TCOS!L4&amp;""</f>
        <v>Average Balance for 2022</v>
      </c>
      <c r="J12" s="98"/>
      <c r="K12" s="71"/>
      <c r="L12" s="77"/>
      <c r="M12" s="71"/>
      <c r="N12" s="71"/>
      <c r="O12" s="75"/>
    </row>
    <row r="13" spans="1:15">
      <c r="A13" s="11" t="s">
        <v>106</v>
      </c>
      <c r="B13" s="72"/>
      <c r="C13" s="68"/>
      <c r="D13" s="182" t="s">
        <v>206</v>
      </c>
      <c r="E13" s="1588"/>
      <c r="F13" s="183"/>
      <c r="G13" s="1588"/>
      <c r="H13" s="184"/>
      <c r="I13" s="1564"/>
      <c r="J13" s="98"/>
      <c r="K13" s="78"/>
      <c r="L13" s="79"/>
      <c r="M13" s="69"/>
      <c r="N13" s="69"/>
    </row>
    <row r="14" spans="1:15">
      <c r="A14" s="72"/>
      <c r="B14" s="72"/>
      <c r="C14" s="68"/>
      <c r="D14" s="74"/>
      <c r="E14" s="67"/>
      <c r="F14" s="67"/>
      <c r="G14" s="202"/>
      <c r="H14" s="73"/>
      <c r="J14" s="15"/>
      <c r="K14" s="78"/>
      <c r="L14" s="79"/>
      <c r="M14" s="69"/>
      <c r="N14" s="69"/>
    </row>
    <row r="15" spans="1:15">
      <c r="A15" s="72">
        <v>1</v>
      </c>
      <c r="B15" s="72"/>
      <c r="D15" s="57"/>
      <c r="E15" s="29"/>
      <c r="F15" s="29"/>
      <c r="G15" s="29"/>
      <c r="H15" s="29"/>
      <c r="I15" s="29"/>
      <c r="K15" s="29"/>
      <c r="L15" s="29"/>
      <c r="M15" s="69"/>
      <c r="N15" s="69"/>
    </row>
    <row r="16" spans="1:15">
      <c r="A16" s="72"/>
      <c r="B16" s="72"/>
      <c r="C16" s="57"/>
      <c r="D16" s="57"/>
      <c r="E16" s="29"/>
      <c r="F16" s="29"/>
      <c r="G16" s="29"/>
      <c r="H16" s="29"/>
      <c r="I16" s="29"/>
      <c r="K16" s="29"/>
      <c r="L16" s="29"/>
      <c r="M16" s="69"/>
      <c r="N16" s="69"/>
    </row>
    <row r="17" spans="1:14">
      <c r="A17" s="72">
        <f>+A15+1</f>
        <v>2</v>
      </c>
      <c r="B17" s="72"/>
      <c r="C17" s="57" t="s">
        <v>525</v>
      </c>
      <c r="D17" s="70" t="s">
        <v>435</v>
      </c>
      <c r="E17" s="836">
        <v>3902</v>
      </c>
      <c r="F17" s="29"/>
      <c r="G17" s="836">
        <v>1612</v>
      </c>
      <c r="H17" s="29"/>
      <c r="I17" s="128">
        <f>IF(G17="",0,(E17+G17)/2)</f>
        <v>2757</v>
      </c>
      <c r="J17"/>
      <c r="K17" s="128"/>
      <c r="L17" s="29"/>
      <c r="M17" s="69"/>
      <c r="N17" s="69"/>
    </row>
    <row r="18" spans="1:14">
      <c r="A18" s="72"/>
      <c r="B18" s="72"/>
      <c r="C18" s="57"/>
      <c r="D18"/>
      <c r="E18"/>
      <c r="F18"/>
      <c r="G18"/>
      <c r="H18"/>
      <c r="I18" s="4"/>
      <c r="J18"/>
      <c r="K18"/>
      <c r="L18" s="29"/>
      <c r="M18" s="69"/>
      <c r="N18" s="69"/>
    </row>
    <row r="19" spans="1:14">
      <c r="A19" s="72">
        <f>+A17+1</f>
        <v>3</v>
      </c>
      <c r="B19" s="72"/>
      <c r="C19" s="57" t="s">
        <v>527</v>
      </c>
      <c r="D19" s="70" t="s">
        <v>436</v>
      </c>
      <c r="E19" s="836">
        <v>586</v>
      </c>
      <c r="F19" s="29"/>
      <c r="G19" s="836">
        <v>1512</v>
      </c>
      <c r="H19" s="73"/>
      <c r="I19" s="128">
        <f>IF(G19="",0,(E19+G19)/2)</f>
        <v>1049</v>
      </c>
      <c r="J19" s="15"/>
      <c r="K19" s="78"/>
      <c r="L19" s="79"/>
      <c r="M19" s="69"/>
      <c r="N19" s="69"/>
    </row>
    <row r="20" spans="1:14">
      <c r="A20" s="72"/>
      <c r="B20" s="72"/>
      <c r="C20" s="57"/>
      <c r="D20" s="70"/>
      <c r="E20"/>
      <c r="F20"/>
      <c r="G20"/>
      <c r="H20"/>
      <c r="I20"/>
      <c r="J20"/>
      <c r="K20" s="78"/>
      <c r="L20" s="79"/>
      <c r="M20" s="69"/>
      <c r="N20" s="69"/>
    </row>
    <row r="21" spans="1:14">
      <c r="A21" s="72">
        <f>+A19+1</f>
        <v>4</v>
      </c>
      <c r="B21" s="72"/>
      <c r="C21" s="57" t="s">
        <v>755</v>
      </c>
      <c r="D21" s="70" t="s">
        <v>437</v>
      </c>
      <c r="E21" s="836"/>
      <c r="F21" s="29"/>
      <c r="G21" s="836"/>
      <c r="H21" s="73"/>
      <c r="I21" s="128">
        <f>IF(G21="",0,(E21+G21)/2)</f>
        <v>0</v>
      </c>
      <c r="J21" s="15"/>
      <c r="K21" s="78"/>
      <c r="L21" s="79"/>
      <c r="M21" s="69"/>
      <c r="N21" s="69"/>
    </row>
    <row r="22" spans="1:14">
      <c r="A22" s="72"/>
      <c r="B22" s="72"/>
      <c r="C22" s="68"/>
      <c r="D22" s="74"/>
      <c r="E22" s="67"/>
      <c r="F22" s="67"/>
      <c r="G22" s="75"/>
      <c r="H22" s="73"/>
      <c r="I22" s="75"/>
      <c r="J22" s="15"/>
      <c r="K22" s="78"/>
      <c r="L22" s="79"/>
      <c r="M22" s="69"/>
      <c r="N22" s="69"/>
    </row>
    <row r="23" spans="1:14">
      <c r="A23" s="171"/>
      <c r="B23" s="171"/>
      <c r="C23" s="172"/>
      <c r="D23" s="173"/>
      <c r="E23" s="174"/>
      <c r="F23" s="174"/>
      <c r="G23" s="175"/>
      <c r="H23" s="176"/>
      <c r="I23" s="175"/>
      <c r="J23" s="177"/>
      <c r="K23" s="178"/>
      <c r="L23" s="179"/>
      <c r="M23" s="69"/>
      <c r="N23" s="69"/>
    </row>
    <row r="24" spans="1:14" ht="18">
      <c r="A24" s="72"/>
      <c r="B24" s="1585" t="s">
        <v>754</v>
      </c>
      <c r="C24" s="1585"/>
      <c r="D24" s="1585"/>
      <c r="E24" s="1585"/>
      <c r="F24" s="1585"/>
      <c r="G24" s="1585"/>
      <c r="H24" s="1585"/>
      <c r="I24" s="1585"/>
      <c r="J24" s="1585"/>
      <c r="K24" s="1585"/>
      <c r="L24" s="79"/>
      <c r="M24" s="69"/>
      <c r="N24" s="69"/>
    </row>
    <row r="25" spans="1:14" ht="12.75" customHeight="1">
      <c r="A25" s="72"/>
      <c r="B25" s="141"/>
      <c r="C25" s="68"/>
      <c r="D25" s="23"/>
      <c r="E25" s="9"/>
      <c r="F25" s="66"/>
      <c r="G25" s="9" t="s">
        <v>87</v>
      </c>
      <c r="I25" s="7" t="s">
        <v>115</v>
      </c>
      <c r="J25" s="7" t="s">
        <v>115</v>
      </c>
      <c r="K25" s="7" t="s">
        <v>179</v>
      </c>
      <c r="L25" s="79"/>
      <c r="M25" s="69"/>
      <c r="N25" s="69"/>
    </row>
    <row r="26" spans="1:14" ht="12.75" customHeight="1">
      <c r="A26" s="72"/>
      <c r="B26" s="141"/>
      <c r="C26" s="68"/>
      <c r="D26" s="138" t="s">
        <v>500</v>
      </c>
      <c r="E26" s="7" t="s">
        <v>529</v>
      </c>
      <c r="F26" s="66"/>
      <c r="G26" s="7" t="s">
        <v>115</v>
      </c>
      <c r="I26" s="7" t="s">
        <v>522</v>
      </c>
      <c r="J26" s="7" t="s">
        <v>161</v>
      </c>
      <c r="K26" s="7" t="s">
        <v>180</v>
      </c>
      <c r="L26" s="79"/>
      <c r="M26" s="69"/>
      <c r="N26" s="69"/>
    </row>
    <row r="27" spans="1:14" ht="12.75" customHeight="1">
      <c r="A27" s="72">
        <f>+A21+1</f>
        <v>5</v>
      </c>
      <c r="B27" s="141"/>
      <c r="C27" s="68"/>
      <c r="D27" s="12" t="s">
        <v>88</v>
      </c>
      <c r="E27" s="12" t="s">
        <v>501</v>
      </c>
      <c r="F27" s="66"/>
      <c r="G27" s="12" t="s">
        <v>523</v>
      </c>
      <c r="I27" s="12" t="s">
        <v>523</v>
      </c>
      <c r="J27" s="12" t="s">
        <v>523</v>
      </c>
      <c r="K27" s="12" t="s">
        <v>524</v>
      </c>
      <c r="L27" s="79"/>
      <c r="M27" s="69"/>
      <c r="N27" s="69"/>
    </row>
    <row r="28" spans="1:14">
      <c r="A28" s="72"/>
      <c r="B28" s="72"/>
      <c r="C28" s="68"/>
      <c r="D28" s="74"/>
      <c r="E28" s="67"/>
      <c r="F28" s="67"/>
      <c r="G28" s="75"/>
      <c r="H28" s="73"/>
      <c r="I28" s="75"/>
      <c r="J28" s="15"/>
      <c r="K28" s="203"/>
      <c r="L28" s="79"/>
      <c r="M28" s="69"/>
      <c r="N28" s="69"/>
    </row>
    <row r="29" spans="1:14">
      <c r="A29" s="72">
        <f>+A27+1</f>
        <v>6</v>
      </c>
      <c r="B29" s="72"/>
      <c r="C29" s="66" t="str">
        <f>"Totals as of December 31, "&amp;TCOS!L4&amp;""</f>
        <v>Totals as of December 31, 2022</v>
      </c>
      <c r="D29" s="142">
        <f>ROUND(D51,0)</f>
        <v>919194</v>
      </c>
      <c r="E29" s="210">
        <f>ROUND(E51,0)</f>
        <v>-9010640</v>
      </c>
      <c r="F29" s="143"/>
      <c r="G29" s="142">
        <f>ROUND(G51,0)</f>
        <v>0</v>
      </c>
      <c r="H29" s="73"/>
      <c r="I29" s="142">
        <f>ROUND(I51,0)</f>
        <v>499591</v>
      </c>
      <c r="J29" s="144">
        <f>+J51</f>
        <v>9430242.8159999996</v>
      </c>
      <c r="K29" s="142">
        <f>ROUND(K51,0)</f>
        <v>9929834</v>
      </c>
      <c r="L29" s="79"/>
      <c r="M29" s="69"/>
      <c r="N29" s="69"/>
    </row>
    <row r="30" spans="1:14">
      <c r="A30" s="72">
        <f>+A29+1</f>
        <v>7</v>
      </c>
      <c r="B30" s="72"/>
      <c r="C30" s="66" t="str">
        <f>"Totals as of December 31, "&amp;TCOS!L4-1&amp;""</f>
        <v>Totals as of December 31, 2021</v>
      </c>
      <c r="D30" s="147">
        <f>IF(D72="","",D72)</f>
        <v>897379.45299999975</v>
      </c>
      <c r="E30" s="211">
        <f>IF(E72="","",E72)</f>
        <v>-2577919.5700000003</v>
      </c>
      <c r="F30" s="67"/>
      <c r="G30" s="147" t="str">
        <f>IF(G72="","",G72)</f>
        <v/>
      </c>
      <c r="H30" s="73"/>
      <c r="I30" s="147">
        <f>IF(I72="","",I72)</f>
        <v>442354.35700000002</v>
      </c>
      <c r="J30" s="147">
        <f>IF(J72="","",J72)</f>
        <v>3032944.6660000002</v>
      </c>
      <c r="K30" s="147">
        <f>IF(K72="","",K72)</f>
        <v>3475299.023</v>
      </c>
      <c r="L30" s="79"/>
      <c r="M30" s="69"/>
      <c r="N30" s="69"/>
    </row>
    <row r="31" spans="1:14" ht="13.5" thickBot="1">
      <c r="A31" s="72">
        <f>+A30+1</f>
        <v>8</v>
      </c>
      <c r="B31" s="72"/>
      <c r="C31" s="94" t="s">
        <v>213</v>
      </c>
      <c r="D31" s="148">
        <f>IF(D30="",0,(D29+D30)/2)</f>
        <v>908286.72649999987</v>
      </c>
      <c r="E31" s="148">
        <f>IF(E30="",0,(E29+E30)/2)</f>
        <v>-5794279.7850000001</v>
      </c>
      <c r="F31" s="149"/>
      <c r="G31" s="148">
        <f>IF(G30="",0,(G29+G30)/2)</f>
        <v>0</v>
      </c>
      <c r="H31" s="89"/>
      <c r="I31" s="148">
        <f>IF(I30="",0,(I29+I30)/2)</f>
        <v>470972.67850000004</v>
      </c>
      <c r="J31" s="148">
        <f>IF(J30="",0,(J29+J30)/2)</f>
        <v>6231593.7410000004</v>
      </c>
      <c r="K31" s="148">
        <f>IF(K30="",0,(K29+K30)/2)</f>
        <v>6702566.5115</v>
      </c>
      <c r="L31" s="79"/>
      <c r="M31" s="69"/>
      <c r="N31" s="69"/>
    </row>
    <row r="32" spans="1:14" ht="13.5" thickTop="1">
      <c r="A32" s="72"/>
      <c r="B32" s="72"/>
      <c r="D32" s="74"/>
      <c r="E32" s="67"/>
      <c r="F32" s="67"/>
      <c r="G32" s="75"/>
      <c r="H32" s="73"/>
      <c r="I32" s="75"/>
      <c r="J32" s="15"/>
      <c r="K32" s="78"/>
      <c r="L32" s="79"/>
      <c r="M32" s="69"/>
      <c r="N32" s="69"/>
    </row>
    <row r="33" spans="1:14">
      <c r="A33" s="66"/>
      <c r="E33" s="66"/>
      <c r="F33" s="66"/>
      <c r="J33" s="15"/>
      <c r="K33" s="78"/>
      <c r="L33" s="79"/>
      <c r="M33" s="69"/>
      <c r="N33" s="69"/>
    </row>
    <row r="34" spans="1:14" ht="18">
      <c r="A34" s="72"/>
      <c r="B34" s="1586" t="str">
        <f>"Prepayments Account 165 - Balance @ 12/31/"&amp;D36&amp;""</f>
        <v>Prepayments Account 165 - Balance @ 12/31/2022</v>
      </c>
      <c r="C34" s="1589"/>
      <c r="D34" s="1589"/>
      <c r="E34" s="1589"/>
      <c r="F34" s="1589"/>
      <c r="G34" s="1589"/>
      <c r="H34" s="1589"/>
      <c r="I34" s="1589"/>
      <c r="J34" s="1589"/>
      <c r="K34" s="78"/>
      <c r="L34" s="79"/>
      <c r="M34" s="69"/>
      <c r="N34" s="69"/>
    </row>
    <row r="35" spans="1:14">
      <c r="A35" s="72"/>
      <c r="B35" s="134"/>
      <c r="C35" s="136"/>
      <c r="D35" s="23"/>
      <c r="E35" s="9"/>
      <c r="F35" s="66"/>
      <c r="G35" s="9" t="s">
        <v>87</v>
      </c>
      <c r="I35" s="7" t="s">
        <v>115</v>
      </c>
      <c r="J35" s="7" t="s">
        <v>115</v>
      </c>
      <c r="K35" s="7" t="s">
        <v>179</v>
      </c>
      <c r="L35"/>
      <c r="M35" s="69"/>
      <c r="N35" s="69"/>
    </row>
    <row r="36" spans="1:14">
      <c r="A36" s="72"/>
      <c r="B36" s="134"/>
      <c r="C36" s="137"/>
      <c r="D36" s="138" t="str">
        <f>""&amp;TCOS!L4</f>
        <v>2022</v>
      </c>
      <c r="E36" s="7" t="s">
        <v>529</v>
      </c>
      <c r="F36" s="66"/>
      <c r="G36" s="7" t="s">
        <v>115</v>
      </c>
      <c r="I36" s="7" t="s">
        <v>522</v>
      </c>
      <c r="J36" s="7" t="s">
        <v>161</v>
      </c>
      <c r="K36" s="7" t="s">
        <v>180</v>
      </c>
      <c r="L36"/>
      <c r="M36" s="69"/>
      <c r="N36" s="69"/>
    </row>
    <row r="37" spans="1:14">
      <c r="A37" s="72">
        <f>+A31+1</f>
        <v>9</v>
      </c>
      <c r="B37" s="12" t="s">
        <v>90</v>
      </c>
      <c r="C37" s="12" t="s">
        <v>167</v>
      </c>
      <c r="D37" s="12" t="s">
        <v>88</v>
      </c>
      <c r="E37" s="12" t="s">
        <v>501</v>
      </c>
      <c r="F37" s="66"/>
      <c r="G37" s="12" t="s">
        <v>523</v>
      </c>
      <c r="I37" s="12" t="s">
        <v>523</v>
      </c>
      <c r="J37" s="12" t="s">
        <v>523</v>
      </c>
      <c r="K37" s="12" t="s">
        <v>524</v>
      </c>
      <c r="L37" s="12" t="s">
        <v>39</v>
      </c>
      <c r="M37" s="69"/>
      <c r="N37" s="69"/>
    </row>
    <row r="38" spans="1:14">
      <c r="A38" s="72"/>
      <c r="B38" s="134"/>
      <c r="C38" s="136"/>
      <c r="D38" s="136"/>
      <c r="E38" s="136"/>
      <c r="F38" s="66"/>
      <c r="G38" s="136"/>
      <c r="I38" s="136"/>
      <c r="J38" s="136"/>
      <c r="K38" s="203"/>
      <c r="L38"/>
      <c r="M38" s="69"/>
      <c r="N38" s="69"/>
    </row>
    <row r="39" spans="1:14" ht="14.25">
      <c r="A39" s="72">
        <f>+A37+1</f>
        <v>10</v>
      </c>
      <c r="B39" s="837" t="s">
        <v>864</v>
      </c>
      <c r="C39" s="838" t="s">
        <v>865</v>
      </c>
      <c r="D39" s="839">
        <v>225163.28</v>
      </c>
      <c r="E39" s="96">
        <f>+D39-K39</f>
        <v>0</v>
      </c>
      <c r="F39" s="66"/>
      <c r="G39" s="102"/>
      <c r="I39" s="102">
        <f>D39</f>
        <v>225163.28</v>
      </c>
      <c r="J39" s="102"/>
      <c r="K39" s="102">
        <f t="shared" ref="K39:K46" si="0">+G39+I39+J39</f>
        <v>225163.28</v>
      </c>
      <c r="L39" t="s">
        <v>530</v>
      </c>
      <c r="M39" s="69"/>
      <c r="N39" s="69"/>
    </row>
    <row r="40" spans="1:14" ht="14.25">
      <c r="A40" s="72">
        <f t="shared" ref="A40:A48" si="1">+A39+1</f>
        <v>11</v>
      </c>
      <c r="B40" s="840" t="s">
        <v>1154</v>
      </c>
      <c r="C40" s="838" t="s">
        <v>896</v>
      </c>
      <c r="D40" s="839">
        <v>0</v>
      </c>
      <c r="E40" s="96">
        <f>D40</f>
        <v>0</v>
      </c>
      <c r="F40" s="66"/>
      <c r="G40" s="102"/>
      <c r="I40" s="102"/>
      <c r="J40" s="102"/>
      <c r="K40" s="102">
        <f t="shared" si="0"/>
        <v>0</v>
      </c>
      <c r="L40" t="s">
        <v>898</v>
      </c>
      <c r="M40" s="69"/>
      <c r="N40" s="69"/>
    </row>
    <row r="41" spans="1:14" ht="14.25">
      <c r="A41" s="72">
        <f t="shared" si="1"/>
        <v>12</v>
      </c>
      <c r="B41" s="840" t="s">
        <v>1155</v>
      </c>
      <c r="C41" s="838" t="s">
        <v>896</v>
      </c>
      <c r="D41" s="839">
        <v>0</v>
      </c>
      <c r="E41" s="96"/>
      <c r="F41" s="66"/>
      <c r="G41" s="102"/>
      <c r="I41" s="102"/>
      <c r="J41" s="102"/>
      <c r="K41" s="102">
        <f t="shared" si="0"/>
        <v>0</v>
      </c>
      <c r="L41" t="s">
        <v>896</v>
      </c>
      <c r="M41" s="69"/>
      <c r="N41" s="69"/>
    </row>
    <row r="42" spans="1:14" ht="14.25">
      <c r="A42" s="72">
        <f t="shared" si="1"/>
        <v>13</v>
      </c>
      <c r="B42" s="1284">
        <v>165000222</v>
      </c>
      <c r="C42" s="838" t="s">
        <v>896</v>
      </c>
      <c r="D42" s="839">
        <v>419602.63</v>
      </c>
      <c r="E42" s="96">
        <f t="shared" ref="E42" si="2">+D42-K42</f>
        <v>419602.63</v>
      </c>
      <c r="F42" s="66"/>
      <c r="G42" s="102"/>
      <c r="I42" s="102"/>
      <c r="J42" s="102"/>
      <c r="K42" s="102">
        <f t="shared" si="0"/>
        <v>0</v>
      </c>
      <c r="L42" t="s">
        <v>1120</v>
      </c>
      <c r="M42" s="69"/>
      <c r="N42" s="69"/>
    </row>
    <row r="43" spans="1:14" ht="14.25">
      <c r="A43" s="72">
        <f t="shared" si="1"/>
        <v>14</v>
      </c>
      <c r="B43" s="837" t="s">
        <v>1157</v>
      </c>
      <c r="C43" s="838" t="s">
        <v>1120</v>
      </c>
      <c r="D43" s="839">
        <v>0</v>
      </c>
      <c r="E43" s="96">
        <f t="shared" ref="E43:E48" si="3">+D43-K43</f>
        <v>0</v>
      </c>
      <c r="F43" s="66"/>
      <c r="G43" s="131"/>
      <c r="I43" s="131"/>
      <c r="J43" s="131">
        <f>D43</f>
        <v>0</v>
      </c>
      <c r="K43" s="131">
        <f t="shared" si="0"/>
        <v>0</v>
      </c>
      <c r="L43" s="20" t="s">
        <v>899</v>
      </c>
      <c r="M43" s="69"/>
      <c r="N43" s="69"/>
    </row>
    <row r="44" spans="1:14" ht="14.25">
      <c r="A44" s="72">
        <f t="shared" si="1"/>
        <v>15</v>
      </c>
      <c r="B44" s="837" t="s">
        <v>866</v>
      </c>
      <c r="C44" s="838" t="s">
        <v>867</v>
      </c>
      <c r="D44" s="839">
        <v>30662867.870000001</v>
      </c>
      <c r="E44" s="96">
        <f t="shared" si="3"/>
        <v>30662867.870000001</v>
      </c>
      <c r="F44" s="66"/>
      <c r="G44" s="102"/>
      <c r="I44" s="102"/>
      <c r="J44" s="102"/>
      <c r="K44" s="131">
        <f t="shared" si="0"/>
        <v>0</v>
      </c>
      <c r="L44" s="4" t="s">
        <v>901</v>
      </c>
      <c r="M44" s="69"/>
      <c r="N44" s="69"/>
    </row>
    <row r="45" spans="1:14" ht="14.25">
      <c r="A45" s="72">
        <f t="shared" si="1"/>
        <v>16</v>
      </c>
      <c r="B45" s="837" t="s">
        <v>868</v>
      </c>
      <c r="C45" s="838" t="s">
        <v>869</v>
      </c>
      <c r="D45" s="839">
        <v>-30662867.870000001</v>
      </c>
      <c r="E45" s="96">
        <f t="shared" si="3"/>
        <v>-30662867.870000001</v>
      </c>
      <c r="F45" s="66"/>
      <c r="G45" s="102"/>
      <c r="I45" s="102"/>
      <c r="J45" s="102"/>
      <c r="K45" s="131">
        <f t="shared" si="0"/>
        <v>0</v>
      </c>
      <c r="L45" s="20" t="s">
        <v>114</v>
      </c>
      <c r="M45" s="69"/>
      <c r="N45" s="69"/>
    </row>
    <row r="46" spans="1:14" ht="14.25">
      <c r="A46" s="72">
        <f t="shared" si="1"/>
        <v>17</v>
      </c>
      <c r="B46" s="1285" t="s">
        <v>897</v>
      </c>
      <c r="C46" s="838" t="s">
        <v>870</v>
      </c>
      <c r="D46" s="839">
        <v>274427.73700000002</v>
      </c>
      <c r="E46" s="96">
        <f t="shared" si="3"/>
        <v>0</v>
      </c>
      <c r="F46" s="66"/>
      <c r="G46" s="102"/>
      <c r="I46" s="102">
        <f>D46</f>
        <v>274427.73700000002</v>
      </c>
      <c r="J46" s="102"/>
      <c r="K46" s="131">
        <f t="shared" si="0"/>
        <v>274427.73700000002</v>
      </c>
      <c r="L46" s="20" t="s">
        <v>902</v>
      </c>
      <c r="M46" s="69"/>
      <c r="N46" s="69"/>
    </row>
    <row r="47" spans="1:14" ht="14.25">
      <c r="A47" s="72">
        <f t="shared" si="1"/>
        <v>18</v>
      </c>
      <c r="B47" s="1286" t="s">
        <v>1158</v>
      </c>
      <c r="C47" s="838" t="s">
        <v>1159</v>
      </c>
      <c r="D47" s="839">
        <v>9430242.8159999996</v>
      </c>
      <c r="E47" s="96">
        <f t="shared" si="3"/>
        <v>0</v>
      </c>
      <c r="F47" s="66"/>
      <c r="G47" s="131"/>
      <c r="I47" s="131"/>
      <c r="J47" s="131">
        <f>D47</f>
        <v>9430242.8159999996</v>
      </c>
      <c r="K47" s="131">
        <f>+G47+I47+J47</f>
        <v>9430242.8159999996</v>
      </c>
      <c r="L47" s="20" t="s">
        <v>903</v>
      </c>
      <c r="M47" s="69"/>
      <c r="N47" s="69"/>
    </row>
    <row r="48" spans="1:14" ht="14.25">
      <c r="A48" s="72">
        <f t="shared" si="1"/>
        <v>19</v>
      </c>
      <c r="B48" s="1286" t="s">
        <v>1160</v>
      </c>
      <c r="C48" s="838" t="s">
        <v>1161</v>
      </c>
      <c r="D48" s="839">
        <v>-9430242.8200000003</v>
      </c>
      <c r="E48" s="96">
        <f t="shared" si="3"/>
        <v>-9430242.8200000003</v>
      </c>
      <c r="F48" s="66"/>
      <c r="G48" s="131"/>
      <c r="I48" s="131"/>
      <c r="J48" s="131"/>
      <c r="K48" s="131">
        <f>+G48+I48+J48</f>
        <v>0</v>
      </c>
      <c r="L48" s="20" t="s">
        <v>901</v>
      </c>
      <c r="M48" s="69"/>
      <c r="N48" s="69"/>
    </row>
    <row r="49" spans="1:15" ht="14.25">
      <c r="A49" s="72"/>
      <c r="B49" s="1286"/>
      <c r="C49" s="838"/>
      <c r="D49" s="839"/>
      <c r="E49" s="96"/>
      <c r="F49" s="66"/>
      <c r="G49" s="131"/>
      <c r="I49" s="131"/>
      <c r="J49" s="131"/>
      <c r="K49" s="131"/>
      <c r="L49" s="20"/>
      <c r="M49" s="69"/>
      <c r="N49" s="69"/>
    </row>
    <row r="50" spans="1:15" ht="15" thickBot="1">
      <c r="A50" s="72" t="s">
        <v>114</v>
      </c>
      <c r="B50" s="840"/>
      <c r="C50" s="838"/>
      <c r="D50" s="839"/>
      <c r="E50" s="131"/>
      <c r="F50" s="66"/>
      <c r="G50" s="102">
        <v>0</v>
      </c>
      <c r="I50" s="102"/>
      <c r="J50" s="102"/>
      <c r="K50" s="131"/>
      <c r="L50" s="20" t="s">
        <v>114</v>
      </c>
      <c r="M50" s="69"/>
      <c r="N50" s="69"/>
    </row>
    <row r="51" spans="1:15" ht="14.25">
      <c r="A51" s="72"/>
      <c r="B51" s="134"/>
      <c r="C51" s="32" t="s">
        <v>502</v>
      </c>
      <c r="D51" s="841">
        <f>SUM(D39:D50)</f>
        <v>919193.64299999923</v>
      </c>
      <c r="E51" s="209">
        <f>SUM(E39:E50)</f>
        <v>-9010640.1900000013</v>
      </c>
      <c r="F51" s="66"/>
      <c r="G51" s="139">
        <f>SUM(G39:G50)</f>
        <v>0</v>
      </c>
      <c r="I51" s="139">
        <f>SUM(I39:I50)</f>
        <v>499591.01699999999</v>
      </c>
      <c r="J51" s="139">
        <f>SUM(J39:J50)</f>
        <v>9430242.8159999996</v>
      </c>
      <c r="K51" s="139">
        <f>SUM(K39:K50)</f>
        <v>9929833.8330000006</v>
      </c>
      <c r="L51"/>
      <c r="M51" s="69"/>
      <c r="N51" s="69"/>
    </row>
    <row r="52" spans="1:15">
      <c r="A52" s="72"/>
      <c r="K52" s="140"/>
      <c r="L52"/>
      <c r="M52" s="69"/>
      <c r="N52" s="69"/>
    </row>
    <row r="53" spans="1:15">
      <c r="A53" s="72"/>
      <c r="B53"/>
      <c r="C53"/>
      <c r="D53"/>
      <c r="E53"/>
      <c r="F53"/>
      <c r="G53"/>
      <c r="H53"/>
      <c r="I53"/>
      <c r="J53"/>
      <c r="K53"/>
      <c r="L53"/>
      <c r="M53" s="20"/>
      <c r="N53" s="20"/>
      <c r="O53"/>
    </row>
    <row r="54" spans="1:15" ht="18">
      <c r="A54" s="72"/>
      <c r="B54" s="1586" t="str">
        <f>"Prepayments Account 165 - Balance @ 12/31/ "&amp;D56&amp;""</f>
        <v>Prepayments Account 165 - Balance @ 12/31/ 2021</v>
      </c>
      <c r="C54" s="1586"/>
      <c r="D54" s="1586"/>
      <c r="E54" s="1586"/>
      <c r="F54" s="1586"/>
      <c r="G54" s="1586"/>
      <c r="H54" s="1586"/>
      <c r="I54" s="1586"/>
      <c r="J54" s="1586"/>
      <c r="K54" s="78"/>
      <c r="L54" s="79"/>
      <c r="M54" s="69"/>
      <c r="N54" s="20"/>
      <c r="O54"/>
    </row>
    <row r="55" spans="1:15">
      <c r="A55" s="72"/>
      <c r="B55" s="222"/>
      <c r="C55" s="223"/>
      <c r="D55" s="224"/>
      <c r="E55" s="9"/>
      <c r="F55" s="66"/>
      <c r="G55" s="9" t="s">
        <v>87</v>
      </c>
      <c r="I55" s="7" t="s">
        <v>115</v>
      </c>
      <c r="J55" s="7" t="s">
        <v>115</v>
      </c>
      <c r="K55" s="7" t="s">
        <v>179</v>
      </c>
      <c r="L55"/>
      <c r="M55" s="69"/>
      <c r="N55" s="20"/>
      <c r="O55"/>
    </row>
    <row r="56" spans="1:15">
      <c r="A56" s="72"/>
      <c r="B56" s="222"/>
      <c r="C56" s="225"/>
      <c r="D56" s="7" t="str">
        <f>""&amp;TCOS!L4-1</f>
        <v>2021</v>
      </c>
      <c r="E56" s="7" t="s">
        <v>529</v>
      </c>
      <c r="F56" s="66"/>
      <c r="G56" s="7" t="s">
        <v>115</v>
      </c>
      <c r="I56" s="7" t="s">
        <v>522</v>
      </c>
      <c r="J56" s="7" t="s">
        <v>161</v>
      </c>
      <c r="K56" s="7" t="s">
        <v>180</v>
      </c>
      <c r="L56"/>
      <c r="M56" s="69"/>
      <c r="N56" s="20"/>
      <c r="O56"/>
    </row>
    <row r="57" spans="1:15">
      <c r="A57" s="72">
        <f>A48+1</f>
        <v>20</v>
      </c>
      <c r="B57" s="12" t="s">
        <v>90</v>
      </c>
      <c r="C57" s="12" t="s">
        <v>167</v>
      </c>
      <c r="D57" s="12" t="s">
        <v>88</v>
      </c>
      <c r="E57" s="12" t="s">
        <v>501</v>
      </c>
      <c r="F57" s="66"/>
      <c r="G57" s="12" t="s">
        <v>523</v>
      </c>
      <c r="I57" s="12" t="s">
        <v>523</v>
      </c>
      <c r="J57" s="12" t="s">
        <v>523</v>
      </c>
      <c r="K57" s="12" t="s">
        <v>524</v>
      </c>
      <c r="L57" s="12" t="s">
        <v>39</v>
      </c>
      <c r="M57" s="69"/>
      <c r="N57" s="20"/>
      <c r="O57"/>
    </row>
    <row r="58" spans="1:15">
      <c r="A58" s="72"/>
      <c r="B58" s="134"/>
      <c r="C58" s="136"/>
      <c r="D58" s="136"/>
      <c r="E58" s="136"/>
      <c r="F58" s="66"/>
      <c r="G58" s="136"/>
      <c r="I58" s="136"/>
      <c r="J58" s="136"/>
      <c r="K58" s="136"/>
      <c r="L58"/>
      <c r="M58" s="69"/>
      <c r="N58" s="20"/>
      <c r="O58"/>
    </row>
    <row r="59" spans="1:15" ht="14.25">
      <c r="A59" s="72">
        <f>+A57+1</f>
        <v>21</v>
      </c>
      <c r="B59" s="837" t="s">
        <v>864</v>
      </c>
      <c r="C59" s="838" t="s">
        <v>865</v>
      </c>
      <c r="D59" s="839">
        <v>188094.54</v>
      </c>
      <c r="E59" s="96">
        <f>+D59-K59</f>
        <v>0</v>
      </c>
      <c r="F59" s="66"/>
      <c r="G59" s="102"/>
      <c r="I59" s="102">
        <f>D59</f>
        <v>188094.54</v>
      </c>
      <c r="J59" s="102"/>
      <c r="K59" s="102">
        <f t="shared" ref="K59:K66" si="4">+G59+I59+J59</f>
        <v>188094.54</v>
      </c>
      <c r="L59" t="s">
        <v>530</v>
      </c>
      <c r="M59" s="69"/>
      <c r="N59" s="20"/>
      <c r="O59"/>
    </row>
    <row r="60" spans="1:15" ht="14.25">
      <c r="A60" s="72">
        <f t="shared" ref="A60:A70" si="5">+A59+1</f>
        <v>22</v>
      </c>
      <c r="B60" s="840" t="s">
        <v>1154</v>
      </c>
      <c r="C60" s="838" t="s">
        <v>896</v>
      </c>
      <c r="D60" s="839">
        <v>0</v>
      </c>
      <c r="E60" s="96">
        <f>D60</f>
        <v>0</v>
      </c>
      <c r="F60" s="66"/>
      <c r="G60" s="102"/>
      <c r="I60" s="102"/>
      <c r="J60" s="102"/>
      <c r="K60" s="102">
        <f t="shared" si="4"/>
        <v>0</v>
      </c>
      <c r="L60" t="s">
        <v>898</v>
      </c>
      <c r="M60" s="69"/>
      <c r="N60" s="20"/>
      <c r="O60"/>
    </row>
    <row r="61" spans="1:15" ht="14.25">
      <c r="A61" s="72">
        <f t="shared" si="5"/>
        <v>23</v>
      </c>
      <c r="B61" s="840" t="s">
        <v>1155</v>
      </c>
      <c r="C61" s="838" t="s">
        <v>896</v>
      </c>
      <c r="D61" s="839">
        <v>0</v>
      </c>
      <c r="E61" s="96"/>
      <c r="F61" s="66"/>
      <c r="G61" s="102"/>
      <c r="I61" s="102"/>
      <c r="J61" s="102"/>
      <c r="K61" s="102">
        <f t="shared" si="4"/>
        <v>0</v>
      </c>
      <c r="L61" t="s">
        <v>896</v>
      </c>
      <c r="M61" s="69"/>
      <c r="N61" s="20"/>
      <c r="O61"/>
    </row>
    <row r="62" spans="1:15" ht="14.25">
      <c r="A62" s="72">
        <f t="shared" si="5"/>
        <v>24</v>
      </c>
      <c r="B62" s="1284" t="s">
        <v>1156</v>
      </c>
      <c r="C62" s="838" t="s">
        <v>896</v>
      </c>
      <c r="D62" s="839">
        <v>455025.10000000003</v>
      </c>
      <c r="E62" s="96">
        <f t="shared" ref="E62:E68" si="6">+D62-K62</f>
        <v>455025.10000000003</v>
      </c>
      <c r="F62" s="66"/>
      <c r="G62" s="102"/>
      <c r="I62" s="102"/>
      <c r="J62" s="102"/>
      <c r="K62" s="102">
        <f t="shared" si="4"/>
        <v>0</v>
      </c>
      <c r="L62" t="s">
        <v>1120</v>
      </c>
      <c r="M62" s="69"/>
      <c r="N62" s="20"/>
      <c r="O62"/>
    </row>
    <row r="63" spans="1:15" ht="14.25">
      <c r="A63" s="72">
        <f t="shared" si="5"/>
        <v>25</v>
      </c>
      <c r="B63" s="837" t="s">
        <v>1157</v>
      </c>
      <c r="C63" s="838" t="s">
        <v>1120</v>
      </c>
      <c r="D63" s="839">
        <v>0</v>
      </c>
      <c r="E63" s="96">
        <f t="shared" si="6"/>
        <v>0</v>
      </c>
      <c r="F63" s="66"/>
      <c r="G63" s="131"/>
      <c r="I63" s="131"/>
      <c r="J63" s="131">
        <f>D63</f>
        <v>0</v>
      </c>
      <c r="K63" s="131">
        <f t="shared" si="4"/>
        <v>0</v>
      </c>
      <c r="L63" s="20" t="s">
        <v>899</v>
      </c>
      <c r="M63" s="69"/>
      <c r="N63" s="20"/>
      <c r="O63"/>
    </row>
    <row r="64" spans="1:15" ht="14.25">
      <c r="A64" s="72">
        <f t="shared" si="5"/>
        <v>26</v>
      </c>
      <c r="B64" s="837" t="s">
        <v>866</v>
      </c>
      <c r="C64" s="838" t="s">
        <v>867</v>
      </c>
      <c r="D64" s="839">
        <v>6551362.8700000001</v>
      </c>
      <c r="E64" s="96">
        <f t="shared" si="6"/>
        <v>6551362.8700000001</v>
      </c>
      <c r="F64" s="66"/>
      <c r="G64" s="102"/>
      <c r="I64" s="102"/>
      <c r="J64" s="102"/>
      <c r="K64" s="131">
        <f t="shared" si="4"/>
        <v>0</v>
      </c>
      <c r="L64" s="4" t="s">
        <v>901</v>
      </c>
      <c r="M64" s="69"/>
      <c r="N64" s="20"/>
      <c r="O64"/>
    </row>
    <row r="65" spans="1:15" ht="14.25">
      <c r="A65" s="72">
        <f t="shared" si="5"/>
        <v>27</v>
      </c>
      <c r="B65" s="837" t="s">
        <v>868</v>
      </c>
      <c r="C65" s="838" t="s">
        <v>869</v>
      </c>
      <c r="D65" s="839">
        <v>-6551362.8700000001</v>
      </c>
      <c r="E65" s="96">
        <f t="shared" si="6"/>
        <v>-6551362.8700000001</v>
      </c>
      <c r="F65" s="66"/>
      <c r="G65" s="102"/>
      <c r="I65" s="102"/>
      <c r="J65" s="102"/>
      <c r="K65" s="131">
        <f t="shared" si="4"/>
        <v>0</v>
      </c>
      <c r="L65" s="20" t="s">
        <v>114</v>
      </c>
      <c r="M65" s="69"/>
      <c r="N65" s="20"/>
      <c r="O65"/>
    </row>
    <row r="66" spans="1:15" ht="14.25">
      <c r="A66" s="72">
        <f t="shared" si="5"/>
        <v>28</v>
      </c>
      <c r="B66" s="1285" t="s">
        <v>897</v>
      </c>
      <c r="C66" s="838" t="s">
        <v>870</v>
      </c>
      <c r="D66" s="839">
        <v>254259.81700000001</v>
      </c>
      <c r="E66" s="96">
        <f t="shared" si="6"/>
        <v>0</v>
      </c>
      <c r="F66" s="66"/>
      <c r="G66" s="102"/>
      <c r="I66" s="102">
        <f>D66</f>
        <v>254259.81700000001</v>
      </c>
      <c r="J66" s="102"/>
      <c r="K66" s="131">
        <f t="shared" si="4"/>
        <v>254259.81700000001</v>
      </c>
      <c r="L66" s="20" t="s">
        <v>902</v>
      </c>
      <c r="M66" s="69"/>
      <c r="N66" s="20"/>
      <c r="O66"/>
    </row>
    <row r="67" spans="1:15" ht="14.25">
      <c r="A67" s="72">
        <f t="shared" si="5"/>
        <v>29</v>
      </c>
      <c r="B67" s="1286" t="s">
        <v>1158</v>
      </c>
      <c r="C67" s="838" t="s">
        <v>1159</v>
      </c>
      <c r="D67" s="839">
        <v>3032944.6660000002</v>
      </c>
      <c r="E67" s="96">
        <f t="shared" si="6"/>
        <v>0</v>
      </c>
      <c r="F67" s="66"/>
      <c r="G67" s="131"/>
      <c r="I67" s="131"/>
      <c r="J67" s="131">
        <f>D67</f>
        <v>3032944.6660000002</v>
      </c>
      <c r="K67" s="131">
        <f>+G67+I67+J67</f>
        <v>3032944.6660000002</v>
      </c>
      <c r="L67" s="20" t="s">
        <v>903</v>
      </c>
      <c r="M67" s="69"/>
      <c r="N67" s="20"/>
      <c r="O67"/>
    </row>
    <row r="68" spans="1:15" ht="14.25">
      <c r="A68" s="72">
        <f t="shared" si="5"/>
        <v>30</v>
      </c>
      <c r="B68" s="1286" t="s">
        <v>1160</v>
      </c>
      <c r="C68" s="838" t="s">
        <v>1161</v>
      </c>
      <c r="D68" s="839">
        <v>-3032944.67</v>
      </c>
      <c r="E68" s="96">
        <f t="shared" si="6"/>
        <v>-3032944.67</v>
      </c>
      <c r="F68" s="66"/>
      <c r="G68" s="131"/>
      <c r="I68" s="131"/>
      <c r="J68" s="131"/>
      <c r="K68" s="131">
        <f>+G68+I68+J68</f>
        <v>0</v>
      </c>
      <c r="L68" s="20" t="s">
        <v>901</v>
      </c>
      <c r="M68" s="69"/>
      <c r="N68" s="20"/>
      <c r="O68"/>
    </row>
    <row r="69" spans="1:15" ht="14.25">
      <c r="A69" s="72">
        <f t="shared" si="5"/>
        <v>31</v>
      </c>
      <c r="B69" s="1286"/>
      <c r="C69" s="838"/>
      <c r="D69" s="839"/>
      <c r="E69" s="96"/>
      <c r="F69" s="66"/>
      <c r="G69" s="131"/>
      <c r="I69" s="131"/>
      <c r="J69" s="131"/>
      <c r="K69" s="131"/>
      <c r="L69" s="20"/>
      <c r="M69" s="69"/>
      <c r="N69" s="20"/>
      <c r="O69"/>
    </row>
    <row r="70" spans="1:15" ht="14.25">
      <c r="A70" s="72">
        <f t="shared" si="5"/>
        <v>32</v>
      </c>
      <c r="B70" s="840"/>
      <c r="C70" s="838"/>
      <c r="D70" s="839"/>
      <c r="E70" s="131"/>
      <c r="F70" s="66"/>
      <c r="G70" s="102"/>
      <c r="I70" s="102"/>
      <c r="J70" s="102"/>
      <c r="K70" s="131"/>
      <c r="L70" s="20"/>
      <c r="M70" s="69"/>
      <c r="N70" s="20"/>
      <c r="O70"/>
    </row>
    <row r="71" spans="1:15" ht="13.5" thickBot="1">
      <c r="A71" s="72"/>
      <c r="B71" s="26"/>
      <c r="C71" s="26"/>
      <c r="D71" s="131"/>
      <c r="E71" s="96"/>
      <c r="F71" s="66"/>
      <c r="G71" s="102"/>
      <c r="I71" s="102"/>
      <c r="J71" s="102"/>
      <c r="K71" s="102"/>
      <c r="L71" s="20" t="s">
        <v>114</v>
      </c>
      <c r="M71" s="69"/>
      <c r="N71" s="20"/>
      <c r="O71"/>
    </row>
    <row r="72" spans="1:15" ht="14.25">
      <c r="A72" s="72"/>
      <c r="B72" s="134"/>
      <c r="C72" s="32" t="s">
        <v>383</v>
      </c>
      <c r="D72" s="841">
        <f>IF(SUM(D59:D71)=0,"",SUM(D59:D71))</f>
        <v>897379.45299999975</v>
      </c>
      <c r="E72" s="209">
        <f>IF(SUM(E59:E71)=0,"",SUM(E59:E71))</f>
        <v>-2577919.5700000003</v>
      </c>
      <c r="F72" s="66"/>
      <c r="G72" s="139" t="str">
        <f>IF(SUM(G59:G71)=0,"",SUM(G59:G71))</f>
        <v/>
      </c>
      <c r="I72" s="139">
        <f>IF(SUM(I59:I71)=0,"",SUM(I59:I71))</f>
        <v>442354.35700000002</v>
      </c>
      <c r="J72" s="139">
        <f>IF(SUM(J59:J71)=0,"",SUM(J59:J71))</f>
        <v>3032944.6660000002</v>
      </c>
      <c r="K72" s="139">
        <f>IF(SUM(K59:K71)=0,"",SUM(K59:K71))</f>
        <v>3475299.023</v>
      </c>
      <c r="L72"/>
      <c r="M72" s="69"/>
      <c r="N72" s="20"/>
      <c r="O72"/>
    </row>
    <row r="73" spans="1:15">
      <c r="A73" s="72"/>
      <c r="B73" s="72"/>
      <c r="C73"/>
      <c r="D73"/>
      <c r="E73"/>
      <c r="F73"/>
      <c r="G73"/>
      <c r="H73"/>
      <c r="I73"/>
      <c r="J73"/>
      <c r="K73"/>
      <c r="L73"/>
      <c r="M73" s="20"/>
      <c r="N73" s="20"/>
      <c r="O73"/>
    </row>
    <row r="74" spans="1:15" ht="18.75" customHeight="1">
      <c r="A74" s="72" t="s">
        <v>626</v>
      </c>
      <c r="B74" s="1584" t="s">
        <v>820</v>
      </c>
      <c r="C74" s="1584"/>
      <c r="D74" s="1584"/>
      <c r="E74" s="1584"/>
      <c r="F74" s="1584"/>
      <c r="G74" s="1584"/>
      <c r="H74" s="1584"/>
      <c r="I74" s="1584"/>
      <c r="J74" s="1584"/>
      <c r="K74" s="1584"/>
      <c r="L74" s="1584"/>
      <c r="M74" s="20"/>
      <c r="N74" s="20"/>
      <c r="O74"/>
    </row>
    <row r="75" spans="1:15" ht="18.75" customHeight="1">
      <c r="A75" s="4"/>
      <c r="B75" s="1584"/>
      <c r="C75" s="1584"/>
      <c r="D75" s="1584"/>
      <c r="E75" s="1584"/>
      <c r="F75" s="1584"/>
      <c r="G75" s="1584"/>
      <c r="H75" s="1584"/>
      <c r="I75" s="1584"/>
      <c r="J75" s="1584"/>
      <c r="K75" s="1584"/>
      <c r="L75" s="1584"/>
      <c r="M75" s="20"/>
      <c r="N75" s="20"/>
      <c r="O75"/>
    </row>
  </sheetData>
  <mergeCells count="12">
    <mergeCell ref="B74:L75"/>
    <mergeCell ref="B10:K10"/>
    <mergeCell ref="A3:L3"/>
    <mergeCell ref="A4:L4"/>
    <mergeCell ref="A5:L5"/>
    <mergeCell ref="A6:L6"/>
    <mergeCell ref="B54:J54"/>
    <mergeCell ref="B24:K24"/>
    <mergeCell ref="E12:E13"/>
    <mergeCell ref="I12:I13"/>
    <mergeCell ref="B34:J34"/>
    <mergeCell ref="G12:G13"/>
  </mergeCells>
  <phoneticPr fontId="7" type="noConversion"/>
  <pageMargins left="1.08" right="0.75" top="1" bottom="0.41" header="0.86" footer="0.27"/>
  <pageSetup scale="49" orientation="landscape" r:id="rId1"/>
  <headerFooter alignWithMargins="0">
    <oddHeader>&amp;R&amp;"Arial,Bold"Formula Rate
&amp;A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wvc2lzbD48VXNlck5hbWU+Q09SUFxzMjczNjg5PC9Vc2VyTmFtZT48RGF0ZVRpbWU+My8yNS8yMDIyIDU6NTg6MjIgUE08L0RhdGVUaW1lPjxMYWJlbFN0cmluZz5BRVAgSW50ZXJuYWw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e9c0b8d7-bdb4-4fd3-b62a-f50327aaefce" origin="userSelected">
  <element uid="50c31824-0780-4910-87d1-eaaffd182d42" value=""/>
</sisl>
</file>

<file path=customXml/itemProps1.xml><?xml version="1.0" encoding="utf-8"?>
<ds:datastoreItem xmlns:ds="http://schemas.openxmlformats.org/officeDocument/2006/customXml" ds:itemID="{817EAD97-6C11-42F2-90B9-3CDF5DCF87C1}">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499755C4-F90F-481F-A926-5F5C54B23BC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31</vt:i4>
      </vt:variant>
      <vt:variant>
        <vt:lpstr>Named Ranges</vt:lpstr>
      </vt:variant>
      <vt:variant>
        <vt:i4>9</vt:i4>
      </vt:variant>
    </vt:vector>
  </HeadingPairs>
  <TitlesOfParts>
    <vt:vector size="40" baseType="lpstr">
      <vt:lpstr>TCOS</vt:lpstr>
      <vt:lpstr>WS A - RB Support</vt:lpstr>
      <vt:lpstr>WS B ADIT &amp; ITC</vt:lpstr>
      <vt:lpstr>WS B-1 - Actual Stmt. AF</vt:lpstr>
      <vt:lpstr>WS B-2 - Actual Stmt. AG</vt:lpstr>
      <vt:lpstr>WS B-3</vt:lpstr>
      <vt:lpstr>WS B-3-A</vt:lpstr>
      <vt:lpstr>WS B-3-B</vt:lpstr>
      <vt:lpstr>WS C  - Working Capital</vt:lpstr>
      <vt:lpstr>WS D IPP Credits</vt:lpstr>
      <vt:lpstr>WS E Rev Credits</vt:lpstr>
      <vt:lpstr>WS F Misc Exp</vt:lpstr>
      <vt:lpstr>WS G  State Tax Rate</vt:lpstr>
      <vt:lpstr>WS H Other Taxes</vt:lpstr>
      <vt:lpstr>WS H-1-Detail of Tax Amts</vt:lpstr>
      <vt:lpstr>WS I Reserved</vt:lpstr>
      <vt:lpstr>WS J PROJECTED RTEP RR</vt:lpstr>
      <vt:lpstr>WS K TRUE-UP RTEP RR</vt:lpstr>
      <vt:lpstr>WS L Reserved</vt:lpstr>
      <vt:lpstr>WS M - Cost of Capital</vt:lpstr>
      <vt:lpstr>WS N - Sale of Plant Held</vt:lpstr>
      <vt:lpstr>WS O - PBOP</vt:lpstr>
      <vt:lpstr>APCo - WS P Dep. Rates</vt:lpstr>
      <vt:lpstr>IMC - WS P Dep. Rates</vt:lpstr>
      <vt:lpstr>KGP - WS P Dep. Rates</vt:lpstr>
      <vt:lpstr>KPC - WS P Dep. Rates</vt:lpstr>
      <vt:lpstr>OPC - WS P Dep. Rates</vt:lpstr>
      <vt:lpstr>WPC-WS P Dep. Rates</vt:lpstr>
      <vt:lpstr>WSQ NSPR</vt:lpstr>
      <vt:lpstr>WSQ Schedule 12</vt:lpstr>
      <vt:lpstr>WSQ Schedule 1A</vt:lpstr>
      <vt:lpstr>TCOS!Print_Area</vt:lpstr>
      <vt:lpstr>'WS B-2 - Actual Stmt. AG'!Print_Area</vt:lpstr>
      <vt:lpstr>'WS B-3'!Print_Area</vt:lpstr>
      <vt:lpstr>'WS B-3-A'!Print_Area</vt:lpstr>
      <vt:lpstr>'WS J PROJECTED RTEP RR'!Print_Area</vt:lpstr>
      <vt:lpstr>'WS L Reserved'!Print_Area</vt:lpstr>
      <vt:lpstr>'WS M - Cost of Capital'!Print_Area</vt:lpstr>
      <vt:lpstr>'WS O - PBOP'!Print_Area</vt:lpstr>
      <vt:lpstr>'WSQ NSPR'!Print_Area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keywords/>
  <cp:lastModifiedBy/>
  <cp:lastPrinted>1601-01-01T00:00:00Z</cp:lastPrinted>
  <dcterms:created xsi:type="dcterms:W3CDTF">1601-01-01T00:00:00Z</dcterms:created>
  <dcterms:modified xsi:type="dcterms:W3CDTF">2023-05-24T18:47:27Z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3d0c4857-d8e9-42f9-bbe5-9d66de93b042</vt:lpwstr>
  </property>
  <property fmtid="{D5CDD505-2E9C-101B-9397-08002B2CF9AE}" pid="3" name="bjSaver">
    <vt:lpwstr>HTegTYUHA5Eno747PWutbmINAXeRHZsu</vt:lpwstr>
  </property>
  <property fmtid="{D5CDD505-2E9C-101B-9397-08002B2CF9AE}" pid="4" name="bjDocumentSecurityLabel">
    <vt:lpwstr>AEP Internal</vt:lpwstr>
  </property>
  <property fmtid="{D5CDD505-2E9C-101B-9397-08002B2CF9AE}" pid="5" name="Visual Markings Removed">
    <vt:lpwstr>No</vt:lpwstr>
  </property>
  <property fmtid="{D5CDD505-2E9C-101B-9397-08002B2CF9AE}" pid="6" name="bjClsUserRVM">
    <vt:lpwstr>[]</vt:lpwstr>
  </property>
  <property fmtid="{D5CDD505-2E9C-101B-9397-08002B2CF9AE}" pid="7" name="bjLabelHistoryID">
    <vt:lpwstr>{817EAD97-6C11-42F2-90B9-3CDF5DCF87C1}</vt:lpwstr>
  </property>
  <property fmtid="{D5CDD505-2E9C-101B-9397-08002B2CF9AE}" pid="8" name="MSIP_Label_69f43042-6bda-44b2-91eb-eca3d3d484f4_SiteId">
    <vt:lpwstr>15f3c881-6b03-4ff6-8559-77bf5177818f</vt:lpwstr>
  </property>
  <property fmtid="{D5CDD505-2E9C-101B-9397-08002B2CF9AE}" pid="9" name="MSIP_Label_69f43042-6bda-44b2-91eb-eca3d3d484f4_Name">
    <vt:lpwstr>AEP Internal</vt:lpwstr>
  </property>
  <property fmtid="{D5CDD505-2E9C-101B-9397-08002B2CF9AE}" pid="10" name="MSIP_Label_69f43042-6bda-44b2-91eb-eca3d3d484f4_Enabled">
    <vt:lpwstr>true</vt:lpwstr>
  </property>
  <property fmtid="{D5CDD505-2E9C-101B-9397-08002B2CF9AE}" pid="11" name="bjDocumentLabelXML">
    <vt:lpwstr>&lt;?xml version="1.0" encoding="us-ascii"?&gt;&lt;sisl xmlns:xsd="http://www.w3.org/2001/XMLSchema" xmlns:xsi="http://www.w3.org/2001/XMLSchema-instance" sislVersion="0" policy="e9c0b8d7-bdb4-4fd3-b62a-f50327aaefce" origin="userSelected" xmlns="http://www.boldonj</vt:lpwstr>
  </property>
  <property fmtid="{D5CDD505-2E9C-101B-9397-08002B2CF9AE}" pid="12" name="bjDocumentLabelXML-0">
    <vt:lpwstr>ames.com/2008/01/sie/internal/label"&gt;&lt;element uid="50c31824-0780-4910-87d1-eaaffd182d42" value="" /&gt;&lt;/sisl&gt;</vt:lpwstr>
  </property>
</Properties>
</file>